
<file path=[Content_Types].xml><?xml version="1.0" encoding="utf-8"?>
<Types xmlns="http://schemas.openxmlformats.org/package/2006/content-type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507"/>
  <workbookPr date1904="1"/>
  <mc:AlternateContent xmlns:mc="http://schemas.openxmlformats.org/markup-compatibility/2006">
    <mc:Choice Requires="x15">
      <x15ac:absPath xmlns:x15ac="http://schemas.microsoft.com/office/spreadsheetml/2010/11/ac" url="/Users/admin/Documents/GPLA - Docs/NA : DEVIS &amp; FACTURES/"/>
    </mc:Choice>
  </mc:AlternateContent>
  <xr:revisionPtr revIDLastSave="0" documentId="13_ncr:1_{85AD8C48-94BB-224A-A3D2-35EE77E0D7DD}" xr6:coauthVersionLast="47" xr6:coauthVersionMax="47" xr10:uidLastSave="{00000000-0000-0000-0000-000000000000}"/>
  <bookViews>
    <workbookView xWindow="3500" yWindow="4520" windowWidth="33060" windowHeight="24540" tabRatio="478" activeTab="1" xr2:uid="{00000000-000D-0000-FFFF-FFFF00000000}"/>
  </bookViews>
  <sheets>
    <sheet name="A LIRE" sheetId="18" r:id="rId1"/>
    <sheet name="EVALUER VOS OEUVRES" sheetId="26" r:id="rId2"/>
    <sheet name="Vente d'oeuvre" sheetId="1" r:id="rId3"/>
    <sheet name="Certificat d'authenticité" sheetId="21" r:id="rId4"/>
    <sheet name="EVALUER VOS DROITS EXPO" sheetId="27" r:id="rId5"/>
    <sheet name="Tableaux de calcul" sheetId="22" state="hidden" r:id="rId6"/>
    <sheet name="Cession droit representation" sheetId="25" r:id="rId7"/>
    <sheet name="Hebergement et km" sheetId="24" r:id="rId8"/>
  </sheets>
  <externalReferences>
    <externalReference r:id="rId9"/>
    <externalReference r:id="rId10"/>
  </externalReferences>
  <definedNames>
    <definedName name="COMM">'[1]Part auteur et galeriste'!$F$7</definedName>
    <definedName name="DExpo">'[2]Forfait droits print &amp; expo '!$P$40</definedName>
    <definedName name="DPress">'[2]Forfait droits print &amp; expo '!$P$22</definedName>
    <definedName name="DPrint">'[2]Forfait droits print &amp; expo '!$P$9</definedName>
    <definedName name="DPrintTot">'[2]Forfait droits print &amp; expo '!$L$26</definedName>
    <definedName name="FdeFrais">'[2]Liste frais'!$B$1</definedName>
    <definedName name="HT">'[1]Part auteur et galeriste'!$D$12</definedName>
    <definedName name="imprevus">'Hebergement et km'!$P$4</definedName>
    <definedName name="PARTAUT">'[1]Part auteur et galeriste'!$G$12</definedName>
    <definedName name="PARTGAL">'[1]Part auteur et galeriste'!$E$12</definedName>
    <definedName name="TTC">'[1]Part auteur et galeriste'!$A$7</definedName>
    <definedName name="TVA">'[1]Part auteur et galeriste'!$C$12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F23" i="26" l="1"/>
  <c r="I17" i="22" l="1"/>
  <c r="I19" i="22" s="1"/>
  <c r="C8" i="26"/>
  <c r="B6" i="22"/>
  <c r="B5" i="22"/>
  <c r="E24" i="26"/>
  <c r="E25" i="26" s="1"/>
  <c r="D24" i="26"/>
  <c r="D25" i="26" s="1"/>
  <c r="C24" i="26"/>
  <c r="C25" i="26" s="1"/>
  <c r="T8" i="22"/>
  <c r="T7" i="22"/>
  <c r="P7" i="22" s="1"/>
  <c r="T6" i="22"/>
  <c r="S5" i="22"/>
  <c r="P6" i="22"/>
  <c r="P5" i="22"/>
  <c r="M7" i="22"/>
  <c r="W9" i="22" s="1"/>
  <c r="D7" i="22"/>
  <c r="B18" i="25" s="1"/>
  <c r="B24" i="27"/>
  <c r="I18" i="22"/>
  <c r="G16" i="22"/>
  <c r="E21" i="1" s="1"/>
  <c r="E16" i="22"/>
  <c r="C21" i="1" s="1"/>
  <c r="S7" i="22"/>
  <c r="G8" i="22"/>
  <c r="H8" i="22"/>
  <c r="I8" i="22"/>
  <c r="J8" i="22"/>
  <c r="K8" i="22"/>
  <c r="S8" i="22"/>
  <c r="H18" i="22"/>
  <c r="H19" i="22"/>
  <c r="H20" i="22"/>
  <c r="I22" i="22"/>
  <c r="J23" i="22" s="1"/>
  <c r="J25" i="22"/>
  <c r="R25" i="22"/>
  <c r="E26" i="22"/>
  <c r="H26" i="22"/>
  <c r="E27" i="22"/>
  <c r="H27" i="22"/>
  <c r="E28" i="22"/>
  <c r="H28" i="22"/>
  <c r="E29" i="22"/>
  <c r="H29" i="22"/>
  <c r="E30" i="22"/>
  <c r="H30" i="22"/>
  <c r="E31" i="22"/>
  <c r="H31" i="22"/>
  <c r="E32" i="22"/>
  <c r="H32" i="22"/>
  <c r="E33" i="22"/>
  <c r="H33" i="22"/>
  <c r="E34" i="22"/>
  <c r="H34" i="22"/>
  <c r="E35" i="22"/>
  <c r="H35" i="22"/>
  <c r="E36" i="22"/>
  <c r="H36" i="22"/>
  <c r="E37" i="22"/>
  <c r="H37" i="22"/>
  <c r="E38" i="22"/>
  <c r="H38" i="22"/>
  <c r="E39" i="22"/>
  <c r="H39" i="22"/>
  <c r="E40" i="22"/>
  <c r="H40" i="22"/>
  <c r="E41" i="22"/>
  <c r="H41" i="22"/>
  <c r="E42" i="22"/>
  <c r="H42" i="22"/>
  <c r="E43" i="22"/>
  <c r="H43" i="22"/>
  <c r="E44" i="22"/>
  <c r="H44" i="22"/>
  <c r="E45" i="22"/>
  <c r="H45" i="22"/>
  <c r="E46" i="22"/>
  <c r="H46" i="22"/>
  <c r="B13" i="1"/>
  <c r="E26" i="1"/>
  <c r="F26" i="1"/>
  <c r="E30" i="1"/>
  <c r="C31" i="1"/>
  <c r="E31" i="1"/>
  <c r="F31" i="1"/>
  <c r="C32" i="1"/>
  <c r="E32" i="1"/>
  <c r="F32" i="1"/>
  <c r="E33" i="1"/>
  <c r="F33" i="1"/>
  <c r="B34" i="1"/>
  <c r="B13" i="25"/>
  <c r="E30" i="25"/>
  <c r="C31" i="25"/>
  <c r="E31" i="25"/>
  <c r="F31" i="25"/>
  <c r="C32" i="25"/>
  <c r="E32" i="25"/>
  <c r="F32" i="25"/>
  <c r="E33" i="25"/>
  <c r="F33" i="25"/>
  <c r="B34" i="25"/>
  <c r="B1" i="21"/>
  <c r="C1" i="21"/>
  <c r="B2" i="21"/>
  <c r="B3" i="21"/>
  <c r="C7" i="21"/>
  <c r="I5" i="24"/>
  <c r="I9" i="24"/>
  <c r="I6" i="24"/>
  <c r="I7" i="24"/>
  <c r="I8" i="24"/>
  <c r="D9" i="24"/>
  <c r="D11" i="24"/>
  <c r="C22" i="24"/>
  <c r="D22" i="24"/>
  <c r="D38" i="24"/>
  <c r="E22" i="24"/>
  <c r="F22" i="24"/>
  <c r="D41" i="24"/>
  <c r="G22" i="24"/>
  <c r="D42" i="24"/>
  <c r="H22" i="24"/>
  <c r="I22" i="24"/>
  <c r="D44" i="24"/>
  <c r="Q27" i="24"/>
  <c r="U27" i="24"/>
  <c r="U25" i="24"/>
  <c r="Q28" i="24"/>
  <c r="U28" i="24"/>
  <c r="Q29" i="24"/>
  <c r="U29" i="24"/>
  <c r="Q30" i="24"/>
  <c r="U30" i="24"/>
  <c r="C31" i="24"/>
  <c r="D48" i="24"/>
  <c r="D31" i="24"/>
  <c r="E31" i="24"/>
  <c r="F31" i="24"/>
  <c r="D51" i="24"/>
  <c r="Q31" i="24"/>
  <c r="U31" i="24"/>
  <c r="Q34" i="24"/>
  <c r="P25" i="24"/>
  <c r="D37" i="24"/>
  <c r="Q37" i="24"/>
  <c r="U37" i="24"/>
  <c r="Q38" i="24"/>
  <c r="U38" i="24"/>
  <c r="D39" i="24"/>
  <c r="Q39" i="24"/>
  <c r="U39" i="24"/>
  <c r="D43" i="24"/>
  <c r="Q44" i="24"/>
  <c r="Q45" i="24"/>
  <c r="Q46" i="24"/>
  <c r="Q48" i="24"/>
  <c r="D49" i="24"/>
  <c r="Q49" i="24"/>
  <c r="D50" i="24"/>
  <c r="Q50" i="24"/>
  <c r="C47" i="24"/>
  <c r="E49" i="24"/>
  <c r="G9" i="24"/>
  <c r="E40" i="24"/>
  <c r="F29" i="25"/>
  <c r="Q4" i="24"/>
  <c r="I20" i="22" l="1"/>
  <c r="F26" i="26"/>
  <c r="J24" i="22" s="1"/>
  <c r="B21" i="25"/>
  <c r="W11" i="22"/>
  <c r="K23" i="22"/>
  <c r="L23" i="22"/>
  <c r="W16" i="22"/>
  <c r="W10" i="22"/>
  <c r="W12" i="22"/>
  <c r="W19" i="22"/>
  <c r="W17" i="22"/>
  <c r="W8" i="22"/>
  <c r="W15" i="22"/>
  <c r="B22" i="25"/>
  <c r="L8" i="22"/>
  <c r="I25" i="22"/>
  <c r="R31" i="22" s="1"/>
  <c r="W14" i="22"/>
  <c r="W18" i="22"/>
  <c r="C26" i="25"/>
  <c r="C19" i="1"/>
  <c r="W13" i="22"/>
  <c r="C9" i="21"/>
  <c r="H16" i="22"/>
  <c r="I43" i="22" s="1"/>
  <c r="J43" i="22" s="1"/>
  <c r="K43" i="22" l="1"/>
  <c r="L27" i="22"/>
  <c r="L34" i="22"/>
  <c r="L43" i="22"/>
  <c r="R36" i="22"/>
  <c r="R34" i="22"/>
  <c r="R46" i="22"/>
  <c r="R41" i="22"/>
  <c r="R45" i="22"/>
  <c r="R28" i="22"/>
  <c r="R30" i="22"/>
  <c r="R40" i="22"/>
  <c r="M5" i="22"/>
  <c r="W5" i="22"/>
  <c r="R35" i="22"/>
  <c r="R43" i="22"/>
  <c r="R42" i="22"/>
  <c r="R26" i="22"/>
  <c r="R32" i="22"/>
  <c r="R44" i="22"/>
  <c r="R37" i="22"/>
  <c r="E20" i="1"/>
  <c r="C11" i="21"/>
  <c r="R38" i="22"/>
  <c r="R33" i="22"/>
  <c r="R29" i="22"/>
  <c r="R39" i="22"/>
  <c r="R27" i="22"/>
  <c r="I27" i="22"/>
  <c r="I46" i="22"/>
  <c r="L46" i="22" s="1"/>
  <c r="I42" i="22"/>
  <c r="L42" i="22" s="1"/>
  <c r="I26" i="22"/>
  <c r="J26" i="22" s="1"/>
  <c r="I36" i="22"/>
  <c r="L36" i="22" s="1"/>
  <c r="I44" i="22"/>
  <c r="J44" i="22" s="1"/>
  <c r="I29" i="22"/>
  <c r="J29" i="22" s="1"/>
  <c r="I28" i="22"/>
  <c r="L28" i="22" s="1"/>
  <c r="I45" i="22"/>
  <c r="L45" i="22" s="1"/>
  <c r="I37" i="22"/>
  <c r="L37" i="22" s="1"/>
  <c r="I32" i="22"/>
  <c r="J32" i="22" s="1"/>
  <c r="I31" i="22"/>
  <c r="J31" i="22" s="1"/>
  <c r="I33" i="22"/>
  <c r="L33" i="22" s="1"/>
  <c r="I35" i="22"/>
  <c r="L35" i="22" s="1"/>
  <c r="I40" i="22"/>
  <c r="J40" i="22" s="1"/>
  <c r="I39" i="22"/>
  <c r="L39" i="22" s="1"/>
  <c r="I34" i="22"/>
  <c r="I30" i="22"/>
  <c r="L30" i="22" s="1"/>
  <c r="I41" i="22"/>
  <c r="L41" i="22" s="1"/>
  <c r="I38" i="22"/>
  <c r="L38" i="22" s="1"/>
  <c r="K26" i="22" l="1"/>
  <c r="K32" i="22"/>
  <c r="L40" i="22"/>
  <c r="L26" i="22"/>
  <c r="O26" i="22" s="1"/>
  <c r="L32" i="22"/>
  <c r="L29" i="22"/>
  <c r="L31" i="22"/>
  <c r="L44" i="22"/>
  <c r="O43" i="22"/>
  <c r="W6" i="22"/>
  <c r="W7" i="22"/>
  <c r="K31" i="22"/>
  <c r="J35" i="22"/>
  <c r="K35" i="22"/>
  <c r="J42" i="22"/>
  <c r="K42" i="22"/>
  <c r="K40" i="22"/>
  <c r="J39" i="22"/>
  <c r="K39" i="22"/>
  <c r="J36" i="22"/>
  <c r="K36" i="22"/>
  <c r="J30" i="22"/>
  <c r="K30" i="22"/>
  <c r="K29" i="22"/>
  <c r="K44" i="22"/>
  <c r="J28" i="22"/>
  <c r="K28" i="22"/>
  <c r="J33" i="22"/>
  <c r="K33" i="22"/>
  <c r="J38" i="22"/>
  <c r="K38" i="22"/>
  <c r="J41" i="22"/>
  <c r="K41" i="22"/>
  <c r="J37" i="22"/>
  <c r="K37" i="22"/>
  <c r="J46" i="22"/>
  <c r="K46" i="22"/>
  <c r="J34" i="22"/>
  <c r="K34" i="22"/>
  <c r="J45" i="22"/>
  <c r="K45" i="22"/>
  <c r="J27" i="22"/>
  <c r="K27" i="22"/>
  <c r="M43" i="22"/>
  <c r="N43" i="22" s="1"/>
  <c r="N4" i="22"/>
  <c r="Q8" i="22"/>
  <c r="O32" i="22" l="1"/>
  <c r="M32" i="22"/>
  <c r="N32" i="22" s="1"/>
  <c r="M26" i="22"/>
  <c r="N26" i="22" s="1"/>
  <c r="O35" i="22"/>
  <c r="M40" i="22"/>
  <c r="N40" i="22" s="1"/>
  <c r="M29" i="22"/>
  <c r="N29" i="22" s="1"/>
  <c r="M44" i="22"/>
  <c r="N44" i="22" s="1"/>
  <c r="O33" i="22"/>
  <c r="O31" i="22"/>
  <c r="M31" i="22"/>
  <c r="N31" i="22" s="1"/>
  <c r="O36" i="22"/>
  <c r="M33" i="22"/>
  <c r="N33" i="22" s="1"/>
  <c r="M38" i="22"/>
  <c r="N38" i="22" s="1"/>
  <c r="O38" i="22"/>
  <c r="P38" i="22" s="1"/>
  <c r="Q38" i="22" s="1"/>
  <c r="M35" i="22"/>
  <c r="N35" i="22" s="1"/>
  <c r="O27" i="22"/>
  <c r="M37" i="22"/>
  <c r="N37" i="22" s="1"/>
  <c r="M28" i="22"/>
  <c r="N28" i="22" s="1"/>
  <c r="M39" i="22"/>
  <c r="N39" i="22" s="1"/>
  <c r="W21" i="22"/>
  <c r="M6" i="22" s="1"/>
  <c r="M46" i="22"/>
  <c r="N46" i="22" s="1"/>
  <c r="M42" i="22"/>
  <c r="N42" i="22" s="1"/>
  <c r="P43" i="22"/>
  <c r="Q43" i="22" s="1"/>
  <c r="O29" i="22"/>
  <c r="O42" i="22"/>
  <c r="O40" i="22"/>
  <c r="O28" i="22"/>
  <c r="O41" i="22"/>
  <c r="O30" i="22"/>
  <c r="M45" i="22"/>
  <c r="N45" i="22" s="1"/>
  <c r="O44" i="22"/>
  <c r="O39" i="22"/>
  <c r="O45" i="22"/>
  <c r="O37" i="22"/>
  <c r="M27" i="22"/>
  <c r="N27" i="22" s="1"/>
  <c r="M30" i="22"/>
  <c r="N30" i="22" s="1"/>
  <c r="O46" i="22"/>
  <c r="P46" i="22" s="1"/>
  <c r="Q46" i="22" s="1"/>
  <c r="M36" i="22"/>
  <c r="N36" i="22" s="1"/>
  <c r="M34" i="22"/>
  <c r="N34" i="22" s="1"/>
  <c r="O34" i="22"/>
  <c r="D17" i="26" s="1"/>
  <c r="M41" i="22"/>
  <c r="N41" i="22" s="1"/>
  <c r="P32" i="22" l="1"/>
  <c r="Q32" i="22" s="1"/>
  <c r="P29" i="22"/>
  <c r="Q29" i="22" s="1"/>
  <c r="P26" i="22"/>
  <c r="Q26" i="22" s="1"/>
  <c r="P40" i="22"/>
  <c r="Q40" i="22" s="1"/>
  <c r="P31" i="22"/>
  <c r="Q31" i="22" s="1"/>
  <c r="P44" i="22"/>
  <c r="Q44" i="22" s="1"/>
  <c r="P33" i="22"/>
  <c r="Q33" i="22" s="1"/>
  <c r="Q5" i="22"/>
  <c r="Q6" i="22"/>
  <c r="P35" i="22"/>
  <c r="Q35" i="22" s="1"/>
  <c r="P36" i="22"/>
  <c r="Q36" i="22" s="1"/>
  <c r="P45" i="22"/>
  <c r="Q45" i="22" s="1"/>
  <c r="P37" i="22"/>
  <c r="Q37" i="22" s="1"/>
  <c r="P28" i="22"/>
  <c r="Q28" i="22" s="1"/>
  <c r="P39" i="22"/>
  <c r="Q39" i="22" s="1"/>
  <c r="P42" i="22"/>
  <c r="Q42" i="22" s="1"/>
  <c r="P34" i="22"/>
  <c r="Q34" i="22" s="1"/>
  <c r="P30" i="22"/>
  <c r="Q30" i="22" s="1"/>
  <c r="C17" i="26"/>
  <c r="C21" i="26" s="1"/>
  <c r="P27" i="22"/>
  <c r="Q27" i="22" s="1"/>
  <c r="P41" i="22"/>
  <c r="Q41" i="22" s="1"/>
  <c r="F28" i="1" l="1"/>
  <c r="F30" i="1" s="1"/>
  <c r="D32" i="26"/>
  <c r="P8" i="22"/>
  <c r="F32" i="26" l="1"/>
  <c r="D33" i="26"/>
  <c r="D34" i="26" s="1"/>
  <c r="D35" i="26" s="1"/>
  <c r="D36" i="26" s="1"/>
  <c r="D37" i="26" s="1"/>
  <c r="D38" i="26" s="1"/>
  <c r="D39" i="26" s="1"/>
  <c r="D40" i="26" s="1"/>
  <c r="D41" i="26" s="1"/>
  <c r="D42" i="26" s="1"/>
  <c r="D43" i="26" s="1"/>
  <c r="D44" i="26" s="1"/>
  <c r="D45" i="26" s="1"/>
  <c r="D46" i="26" s="1"/>
  <c r="F28" i="25"/>
  <c r="F30" i="25" s="1"/>
  <c r="B23" i="27"/>
  <c r="H32" i="26" l="1"/>
  <c r="H33" i="26" s="1"/>
  <c r="H34" i="26" s="1"/>
  <c r="H35" i="26" s="1"/>
  <c r="H36" i="26" s="1"/>
  <c r="F33" i="26"/>
  <c r="F34" i="26" s="1"/>
  <c r="F35" i="26" s="1"/>
  <c r="F36" i="26" s="1"/>
  <c r="F37" i="26" s="1"/>
  <c r="F38" i="26" s="1"/>
  <c r="F39" i="26" s="1"/>
  <c r="F40" i="26" s="1"/>
  <c r="F41" i="26" s="1"/>
</calcChain>
</file>

<file path=xl/sharedStrings.xml><?xml version="1.0" encoding="utf-8"?>
<sst xmlns="http://schemas.openxmlformats.org/spreadsheetml/2006/main" count="377" uniqueCount="317">
  <si>
    <t>Restaurants</t>
    <phoneticPr fontId="9" type="noConversion"/>
  </si>
  <si>
    <t>Notes carburant</t>
    <phoneticPr fontId="9" type="noConversion"/>
  </si>
  <si>
    <t>Train</t>
    <phoneticPr fontId="9" type="noConversion"/>
  </si>
  <si>
    <t xml:space="preserve">ESTIMATION PRIX DE VENTE DES TIRAGES </t>
    <phoneticPr fontId="9" type="noConversion"/>
  </si>
  <si>
    <t>DROIT DE REPRÉSENTATION</t>
    <phoneticPr fontId="9" type="noConversion"/>
  </si>
  <si>
    <t>Total des frais</t>
    <phoneticPr fontId="9" type="noConversion"/>
  </si>
  <si>
    <t>(organisme culturel, institution, associations,…)</t>
    <phoneticPr fontId="9" type="noConversion"/>
  </si>
  <si>
    <t>Cocher la caseci-dessous pour supprimer l'info par défaut</t>
    <phoneticPr fontId="9" type="noConversion"/>
  </si>
  <si>
    <t>11 mois</t>
  </si>
  <si>
    <t>INSCRIRE LE NOMBRE D'EXEMPLAIRES DANS LA SERIE (ci-contre =&gt;)</t>
    <phoneticPr fontId="9" type="noConversion"/>
  </si>
  <si>
    <t>Pauses</t>
    <phoneticPr fontId="9" type="noConversion"/>
  </si>
  <si>
    <t xml:space="preserve">Répondez par une croix pour valider votre choix lorsqu'un nombre n'est pas demandé. </t>
    <phoneticPr fontId="9" type="noConversion"/>
  </si>
  <si>
    <t>1000 à 10000 visiteurs</t>
    <phoneticPr fontId="9" type="noConversion"/>
  </si>
  <si>
    <t>Plus de 25000 visiteurs</t>
    <phoneticPr fontId="9" type="noConversion"/>
  </si>
  <si>
    <t>NE PAS MODIFIER LES ELEMENTS DU TABLEAU ci-dessous (formules)</t>
  </si>
  <si>
    <t>X</t>
    <phoneticPr fontId="3" type="noConversion"/>
  </si>
  <si>
    <t xml:space="preserve">Cette œuvre fait partie d'une série de </t>
    <phoneticPr fontId="3" type="noConversion"/>
  </si>
  <si>
    <t>/</t>
    <phoneticPr fontId="3" type="noConversion"/>
  </si>
  <si>
    <t xml:space="preserve">Son numéro est le </t>
    <phoneticPr fontId="3" type="noConversion"/>
  </si>
  <si>
    <t>Léo</t>
    <phoneticPr fontId="3" type="noConversion"/>
  </si>
  <si>
    <r>
      <t xml:space="preserve">N° intracommunautaire de TVA (client CEE seulement) </t>
    </r>
    <r>
      <rPr>
        <sz val="9"/>
        <rFont val="Arial"/>
        <family val="2"/>
      </rPr>
      <t xml:space="preserve">  
</t>
    </r>
    <r>
      <rPr>
        <i/>
        <sz val="8"/>
        <rFont val="Arial"/>
        <family val="2"/>
      </rPr>
      <t/>
    </r>
    <phoneticPr fontId="3" type="noConversion"/>
  </si>
  <si>
    <t>FR….</t>
    <phoneticPr fontId="3" type="noConversion"/>
  </si>
  <si>
    <t>Option TVA :</t>
  </si>
  <si>
    <t>Règlement par chèque à réception</t>
  </si>
  <si>
    <t xml:space="preserve">Pour plus de précisions il est donc conseillé d'indiquer les montants réels payés. </t>
    <phoneticPr fontId="9" type="noConversion"/>
  </si>
  <si>
    <t>En l'absence d'indication, dans ces cases, une valeur par défaut est intégrée dans le prix de vente.</t>
    <phoneticPr fontId="9" type="noConversion"/>
  </si>
  <si>
    <t>Reproduction de l'œuvre vendue</t>
    <phoneticPr fontId="9" type="noConversion"/>
  </si>
  <si>
    <t>Hors de France écrire: export ou UE</t>
    <phoneticPr fontId="3" type="noConversion"/>
  </si>
  <si>
    <t>moins de 1000 visiteurs</t>
    <phoneticPr fontId="9" type="noConversion"/>
  </si>
  <si>
    <t>PERATEUR</t>
    <phoneticPr fontId="3" type="noConversion"/>
  </si>
  <si>
    <t>00, rue ….</t>
    <phoneticPr fontId="3" type="noConversion"/>
  </si>
  <si>
    <t>Vous connaissez la fréquentation totale estimée pendant la durée de l'événement ?</t>
    <phoneticPr fontId="9" type="noConversion"/>
  </si>
  <si>
    <t>Soit PU :</t>
    <phoneticPr fontId="9" type="noConversion"/>
  </si>
  <si>
    <t xml:space="preserve">moyen </t>
    <phoneticPr fontId="9" type="noConversion"/>
  </si>
  <si>
    <t>TOTAL FINAL arrondi à la centaine sup.</t>
    <phoneticPr fontId="9" type="noConversion"/>
  </si>
  <si>
    <t>12 mois</t>
  </si>
  <si>
    <t>coeff</t>
    <phoneticPr fontId="9" type="noConversion"/>
  </si>
  <si>
    <t>repère durée</t>
    <phoneticPr fontId="9" type="noConversion"/>
  </si>
  <si>
    <t>Ce calculateur tient compte du format de l'œuvre, de la renommée du photographe, du coût de production, et de la numérotation. Il n'est bien sur qu'indicatif</t>
  </si>
  <si>
    <t xml:space="preserve"> Certificat d’authenticité d’une œuvre photographique </t>
    <phoneticPr fontId="9" type="noConversion"/>
  </si>
  <si>
    <t>Fréquentation estimée à  :</t>
    <phoneticPr fontId="9" type="noConversion"/>
  </si>
  <si>
    <t xml:space="preserve">En modifiant ce prix unitaire vous pouvez agir sur le total afin de le faire correspondre avec votre mode de fonctionnement </t>
    <phoneticPr fontId="9" type="noConversion"/>
  </si>
  <si>
    <t>l'auteur ou le nom du labo</t>
    <phoneticPr fontId="3" type="noConversion"/>
  </si>
  <si>
    <t>Présentation :</t>
    <phoneticPr fontId="3" type="noConversion"/>
  </si>
  <si>
    <t>Prix de vente monté</t>
    <phoneticPr fontId="9" type="noConversion"/>
  </si>
  <si>
    <t>Prix du tirage</t>
    <phoneticPr fontId="9" type="noConversion"/>
  </si>
  <si>
    <t>larg.</t>
    <phoneticPr fontId="9" type="noConversion"/>
  </si>
  <si>
    <t xml:space="preserve">Vous pouvez aussi personnaliser le montant minimum que vous estimez devoir percevoir pour une participation </t>
    <phoneticPr fontId="9" type="noConversion"/>
  </si>
  <si>
    <t xml:space="preserve">Quel est le prix de fabrication ? </t>
    <phoneticPr fontId="9" type="noConversion"/>
  </si>
  <si>
    <t>Sa production a été effectuée selon des normes qui garantissent une conservation optimale, sous condition d’éviter une exposition prolongée à la lumière directe du soleil.</t>
  </si>
  <si>
    <t>Fait à Ville, le 00/00/2017</t>
  </si>
  <si>
    <t>Signature</t>
  </si>
  <si>
    <t>00/00/0000</t>
    <phoneticPr fontId="3" type="noConversion"/>
  </si>
  <si>
    <t>Si vous ne souhaitez pas "valoriser" votre temps de déplacement, il suffit d'indiquer "1" dans la case du ratio de majoration</t>
    <phoneticPr fontId="9" type="noConversion"/>
  </si>
  <si>
    <t>FORFAITS</t>
    <phoneticPr fontId="9" type="noConversion"/>
  </si>
  <si>
    <t>COUT DE PRODUCTION DU TIRAGE</t>
    <phoneticPr fontId="9" type="noConversion"/>
  </si>
  <si>
    <t xml:space="preserve">lucratif </t>
    <phoneticPr fontId="9" type="noConversion"/>
  </si>
  <si>
    <t>non lucratif</t>
    <phoneticPr fontId="9" type="noConversion"/>
  </si>
  <si>
    <t>(ex : 15 jours donne 0,5)</t>
    <phoneticPr fontId="9" type="noConversion"/>
  </si>
  <si>
    <r>
      <t>A utiliser pour la mise à disposition d'expositions existantes</t>
    </r>
    <r>
      <rPr>
        <b/>
        <i/>
        <sz val="16"/>
        <rFont val="Arial"/>
        <family val="2"/>
      </rPr>
      <t xml:space="preserve"> (tous les frais et rémunération sont à facturer en plus, utiliser l'onglet 'hébergementet km") </t>
    </r>
    <r>
      <rPr>
        <i/>
        <sz val="16"/>
        <rFont val="Arial"/>
        <family val="2"/>
      </rPr>
      <t>en s'inspirant des barèmes de l'ADAGP et de la SAIF. Organismes à but non lucratif = associations, fondations, offices du tourisme sauf mutuelles - Tableau conçu avec l'aide de Matthieu Suprin</t>
    </r>
    <phoneticPr fontId="9" type="noConversion"/>
  </si>
  <si>
    <t>Présentation :</t>
    <phoneticPr fontId="3" type="noConversion"/>
  </si>
  <si>
    <t>visiteurs</t>
    <phoneticPr fontId="9" type="noConversion"/>
  </si>
  <si>
    <t>Autres informations :</t>
    <phoneticPr fontId="9" type="noConversion"/>
  </si>
  <si>
    <t>TOTAUX</t>
    <phoneticPr fontId="9" type="noConversion"/>
  </si>
  <si>
    <t xml:space="preserve">Largeur </t>
    <phoneticPr fontId="9" type="noConversion"/>
  </si>
  <si>
    <t xml:space="preserve">Il est possible de modifier le coefficient de majoration pour les espos à but lucratif  </t>
    <phoneticPr fontId="9" type="noConversion"/>
  </si>
  <si>
    <t>Vous souhaitez majorer parce que le lieu est prestigieux ? (en %)</t>
    <phoneticPr fontId="9" type="noConversion"/>
  </si>
  <si>
    <t xml:space="preserve">exemplaires </t>
    <phoneticPr fontId="3" type="noConversion"/>
  </si>
  <si>
    <t>1 sem</t>
    <phoneticPr fontId="9" type="noConversion"/>
  </si>
  <si>
    <t>2 sem</t>
    <phoneticPr fontId="9" type="noConversion"/>
  </si>
  <si>
    <t>1 mois</t>
    <phoneticPr fontId="9" type="noConversion"/>
  </si>
  <si>
    <t>2 mois</t>
    <phoneticPr fontId="9" type="noConversion"/>
  </si>
  <si>
    <t>3 mois</t>
    <phoneticPr fontId="9" type="noConversion"/>
  </si>
  <si>
    <t>4 mois</t>
  </si>
  <si>
    <t>5 mois</t>
  </si>
  <si>
    <t>6 mois</t>
  </si>
  <si>
    <t>7 mois</t>
  </si>
  <si>
    <t>8 mois</t>
  </si>
  <si>
    <t>9 mois</t>
  </si>
  <si>
    <t>10 mois</t>
  </si>
  <si>
    <t>FORFAITS HÉBERGEMENT</t>
    <phoneticPr fontId="9" type="noConversion"/>
  </si>
  <si>
    <t>Valeur immatérielle de votre tirage</t>
    <phoneticPr fontId="9" type="noConversion"/>
  </si>
  <si>
    <t xml:space="preserve">(2) Frais de déplacement,et d'hébergement (copies des justificatifs sur demande) </t>
    <phoneticPr fontId="3" type="noConversion"/>
  </si>
  <si>
    <t>Pour modifier les coefficients que vous voulez attribuer aux séries autres que la base</t>
    <phoneticPr fontId="9" type="noConversion"/>
  </si>
  <si>
    <t>coeff</t>
    <phoneticPr fontId="9" type="noConversion"/>
  </si>
  <si>
    <t>date de réalisation :</t>
    <phoneticPr fontId="3" type="noConversion"/>
  </si>
  <si>
    <t>Exposition Temporaire pour un organisme à but lucratf</t>
    <phoneticPr fontId="9" type="noConversion"/>
  </si>
  <si>
    <t>10000 à 25000</t>
    <phoneticPr fontId="9" type="noConversion"/>
  </si>
  <si>
    <t xml:space="preserve">Quel est le format ? </t>
    <phoneticPr fontId="9" type="noConversion"/>
  </si>
  <si>
    <t>Majoration pour organismes à but lucratif</t>
    <phoneticPr fontId="9" type="noConversion"/>
  </si>
  <si>
    <t xml:space="preserve"> Estimé entre 30 et 60 euros</t>
    <phoneticPr fontId="9" type="noConversion"/>
  </si>
  <si>
    <t>FORMAT</t>
    <phoneticPr fontId="3" type="noConversion"/>
  </si>
  <si>
    <t xml:space="preserve">papier baryté ou type de papier ou sortie numérique … </t>
    <phoneticPr fontId="3" type="noConversion"/>
  </si>
  <si>
    <t>Indiquez dans les cases bleues le format de votre tirage =&gt; largeur x hauteur. Le tableau choisira la tranche qui correspond au numéro de "toile" qui conditionne la valeur de votre tirage. Le prix du tirage et l'encadrement sont évalués par défaut en pourcentage mais vous pouve entrer le montant réel de chacune de ces opérations pour être plus précis</t>
    <phoneticPr fontId="9" type="noConversion"/>
  </si>
  <si>
    <t>Exposition Temporaire pour un organisme à but non lucratif</t>
    <phoneticPr fontId="9" type="noConversion"/>
  </si>
  <si>
    <t>2021-000</t>
    <phoneticPr fontId="3" type="noConversion"/>
  </si>
  <si>
    <t>par défaut</t>
    <phoneticPr fontId="9" type="noConversion"/>
  </si>
  <si>
    <t>la durée en mois en décimale</t>
    <phoneticPr fontId="9" type="noConversion"/>
  </si>
  <si>
    <t>Cette œuvre est conforme à l'article 98 A du Cgi et aux règles de conservation des œuvres de même type.</t>
    <phoneticPr fontId="3" type="noConversion"/>
  </si>
  <si>
    <t>La signature figure sur la face … de l'œuvre</t>
    <phoneticPr fontId="9" type="noConversion"/>
  </si>
  <si>
    <t>0/00/00/000/000-00</t>
    <phoneticPr fontId="3" type="noConversion"/>
  </si>
  <si>
    <t>Mme, Mr, Service ...</t>
    <phoneticPr fontId="3"/>
  </si>
  <si>
    <t>avec le temps de déplacement</t>
    <phoneticPr fontId="9" type="noConversion"/>
  </si>
  <si>
    <t>7 et plus</t>
    <phoneticPr fontId="9" type="noConversion"/>
  </si>
  <si>
    <t>RÉCAPITULATIF</t>
    <phoneticPr fontId="9" type="noConversion"/>
  </si>
  <si>
    <t xml:space="preserve">DÉPLACEMENTS </t>
    <phoneticPr fontId="9" type="noConversion"/>
  </si>
  <si>
    <t>FRAIS DE VEHICULE - FACTURATION AU KM</t>
    <phoneticPr fontId="9" type="noConversion"/>
  </si>
  <si>
    <t xml:space="preserve">moins de 1000 </t>
    <phoneticPr fontId="9" type="noConversion"/>
  </si>
  <si>
    <t xml:space="preserve">Vous souhaitez connaître à quel prix vendre vos œuvres ? </t>
    <phoneticPr fontId="9" type="noConversion"/>
  </si>
  <si>
    <t xml:space="preserve">LE MONTANT DES DROITS DE REPRESENTATION [exposition, monstration] : </t>
    <phoneticPr fontId="9" type="noConversion"/>
  </si>
  <si>
    <t xml:space="preserve">Hôtel 2 étoiles Autres villes </t>
    <phoneticPr fontId="9" type="noConversion"/>
  </si>
  <si>
    <t>Montant de la valeur du point  "émergent"</t>
    <phoneticPr fontId="9" type="noConversion"/>
  </si>
  <si>
    <r>
      <t>Évaluation sur la base du barème fiscal, qui tient compte du carburant, de l'entretien courant et de l'amortissement du véhicule.</t>
    </r>
    <r>
      <rPr>
        <i/>
        <sz val="15"/>
        <color indexed="8"/>
        <rFont val="Calibri"/>
        <family val="2"/>
      </rPr>
      <t xml:space="preserve"> (Les frais de péage, parking et autres ne sont pas inclus dans ce forfait et doivent être évalués et facturés dans un autre cadre de cet onglet)</t>
    </r>
    <phoneticPr fontId="9" type="noConversion"/>
  </si>
  <si>
    <t>Facturation</t>
    <phoneticPr fontId="9" type="noConversion"/>
  </si>
  <si>
    <t>Remplir</t>
    <phoneticPr fontId="9" type="noConversion"/>
  </si>
  <si>
    <t xml:space="preserve">Vous souhaitez connaître le montant des droits d'exposition ?  </t>
    <phoneticPr fontId="9" type="noConversion"/>
  </si>
  <si>
    <t>Indiquez ci-dessous les éléments que vous connaissez :</t>
    <phoneticPr fontId="9" type="noConversion"/>
  </si>
  <si>
    <t>Vous pouvez prévoir un minimu de facturation pour  prendre en compte un part des frais de base inhérent à tout événement</t>
    <phoneticPr fontId="9" type="noConversion"/>
  </si>
  <si>
    <t>ÉVALUATION FRAIS KM</t>
    <phoneticPr fontId="9" type="noConversion"/>
  </si>
  <si>
    <t>LABORATOIRE</t>
    <phoneticPr fontId="9" type="noConversion"/>
  </si>
  <si>
    <t>Location de véhicule</t>
    <phoneticPr fontId="9" type="noConversion"/>
  </si>
  <si>
    <t>Les chiifres correspondent au barème offciel pour une distance annurelle inférieure à 5000 km</t>
    <phoneticPr fontId="9" type="noConversion"/>
  </si>
  <si>
    <t>&lt;= Ratio de majoration</t>
    <phoneticPr fontId="9" type="noConversion"/>
  </si>
  <si>
    <t xml:space="preserve">      Détail des frais réels relatifs au moyen de déplacement </t>
    <phoneticPr fontId="9" type="noConversion"/>
  </si>
  <si>
    <t>Péages</t>
    <phoneticPr fontId="9" type="noConversion"/>
  </si>
  <si>
    <t>Montage, encadrement</t>
    <phoneticPr fontId="9" type="noConversion"/>
  </si>
  <si>
    <t>Minoration lieu "populaire"</t>
    <phoneticPr fontId="9" type="noConversion"/>
  </si>
  <si>
    <t>Le tirage a été réalisé en (mois/année) sur (type de papier) par (laboratoire ou sinon par l’auteur lui-même).</t>
  </si>
  <si>
    <t>Dont le titre est  « nom de l’œuvre »</t>
  </si>
  <si>
    <t>Avion et Bagages</t>
    <phoneticPr fontId="9" type="noConversion"/>
  </si>
  <si>
    <t>Parking et Parcmetre</t>
    <phoneticPr fontId="9" type="noConversion"/>
  </si>
  <si>
    <t>Taxi</t>
    <phoneticPr fontId="9" type="noConversion"/>
  </si>
  <si>
    <t>Les indemnités sont calculées soit en additionnant le temps passé en déplacement + les indemnités kilométriques ou en utilisant le ratio supplémentaire appliqué au km.</t>
    <phoneticPr fontId="9" type="noConversion"/>
  </si>
  <si>
    <t>Tiré par :</t>
    <phoneticPr fontId="3" type="noConversion"/>
  </si>
  <si>
    <t xml:space="preserve">       </t>
    <phoneticPr fontId="3" type="noConversion"/>
  </si>
  <si>
    <t>indiquer si l'œuvre est collée, encadrée ou autres</t>
    <phoneticPr fontId="3" type="noConversion"/>
  </si>
  <si>
    <t>Artiste - Auteur - Photographe</t>
    <phoneticPr fontId="3" type="noConversion"/>
  </si>
  <si>
    <t>PRIX DE L'ŒUVRE</t>
    <phoneticPr fontId="3" type="noConversion"/>
  </si>
  <si>
    <t>Indiquez par une croix le nombre d'exemplaires de votre série</t>
    <phoneticPr fontId="9" type="noConversion"/>
  </si>
  <si>
    <t>Mettre une croix si plus de 1000 visiteurs</t>
    <phoneticPr fontId="9" type="noConversion"/>
  </si>
  <si>
    <t>(1)</t>
    <phoneticPr fontId="9" type="noConversion"/>
  </si>
  <si>
    <t>SOCIETE</t>
  </si>
  <si>
    <t>Cette photographie est cédée exclusivement pour un usage privé, sa reproduction ou sa représentation sans l’accord de l’auteur est une contrefaçon.</t>
  </si>
  <si>
    <t>Vous souhaitez minorer parce que le lieu est populaire ? (en %)</t>
    <phoneticPr fontId="9" type="noConversion"/>
  </si>
  <si>
    <r>
      <t xml:space="preserve">ÉVALUATION FRAIS KM </t>
    </r>
    <r>
      <rPr>
        <sz val="16"/>
        <color indexed="9"/>
        <rFont val="Arial"/>
        <family val="2"/>
      </rPr>
      <t>en incluant un ratio pour compenser le temps passé</t>
    </r>
    <phoneticPr fontId="9" type="noConversion"/>
  </si>
  <si>
    <t>00000 VILLE</t>
    <phoneticPr fontId="3" type="noConversion"/>
  </si>
  <si>
    <t>N° Intracomm TVA :</t>
    <phoneticPr fontId="3" type="noConversion"/>
  </si>
  <si>
    <t>Soumis au régime de l'AGESSA</t>
    <phoneticPr fontId="3" type="noConversion"/>
  </si>
  <si>
    <t>plus de 5</t>
    <phoneticPr fontId="3" type="noConversion"/>
  </si>
  <si>
    <t>Prix de vente tirage non monté</t>
    <phoneticPr fontId="9" type="noConversion"/>
  </si>
  <si>
    <t>support :</t>
    <phoneticPr fontId="3" type="noConversion"/>
  </si>
  <si>
    <t>Pour le calcul des prix de vente d'œuvres (art 98A du CGI) est établi en plus du format, de la qualité de l'auteur, un coefficient de majoration pour des faibles tirages de 1 à 5. Il est possible de personnaliser chacun de ces éléments</t>
    <phoneticPr fontId="9" type="noConversion"/>
  </si>
  <si>
    <t>Numéro de toile</t>
    <phoneticPr fontId="9" type="noConversion"/>
  </si>
  <si>
    <t>Catégorie de format de votre tirage</t>
    <phoneticPr fontId="9" type="noConversion"/>
  </si>
  <si>
    <t>moins de 10 exemplaires</t>
    <phoneticPr fontId="9" type="noConversion"/>
  </si>
  <si>
    <t>sur la base du BOI 2019</t>
    <phoneticPr fontId="9" type="noConversion"/>
  </si>
  <si>
    <t>Nombre de personnes dans l'équipe :</t>
    <phoneticPr fontId="9" type="noConversion"/>
  </si>
  <si>
    <t>nombre de photos</t>
  </si>
  <si>
    <t xml:space="preserve">du : </t>
    <phoneticPr fontId="3" type="noConversion"/>
  </si>
  <si>
    <t xml:space="preserve">Données techniques </t>
    <phoneticPr fontId="3" type="noConversion"/>
  </si>
  <si>
    <t>Restaurants</t>
    <phoneticPr fontId="9" type="noConversion"/>
  </si>
  <si>
    <t>Facture de cession de droit de répresentation</t>
    <phoneticPr fontId="3" type="noConversion"/>
  </si>
  <si>
    <t>Location de voiture</t>
    <phoneticPr fontId="9" type="noConversion"/>
  </si>
  <si>
    <t>3,4 ou 5</t>
    <phoneticPr fontId="3" type="noConversion"/>
  </si>
  <si>
    <t>UNIQUEMENT POUR LES ÉVALUATIONS FORFAITAIRES</t>
    <phoneticPr fontId="9" type="noConversion"/>
  </si>
  <si>
    <t>nbre de pers</t>
    <phoneticPr fontId="9" type="noConversion"/>
  </si>
  <si>
    <t>chambre</t>
    <phoneticPr fontId="9" type="noConversion"/>
  </si>
  <si>
    <t>petit dej</t>
    <phoneticPr fontId="9" type="noConversion"/>
  </si>
  <si>
    <t>repas midi</t>
    <phoneticPr fontId="9" type="noConversion"/>
  </si>
  <si>
    <t>repas soir</t>
    <phoneticPr fontId="9" type="noConversion"/>
  </si>
  <si>
    <t>Total</t>
    <phoneticPr fontId="9" type="noConversion"/>
  </si>
  <si>
    <r>
      <t xml:space="preserve">Indiquez le ici </t>
    </r>
    <r>
      <rPr>
        <b/>
        <sz val="14"/>
        <rFont val="Wingdings 3"/>
        <charset val="2"/>
      </rPr>
      <t xml:space="preserve">a </t>
    </r>
    <phoneticPr fontId="9" type="noConversion"/>
  </si>
  <si>
    <t>Hôtel 2 étoiles Grandes Villes</t>
    <phoneticPr fontId="9" type="noConversion"/>
  </si>
  <si>
    <t>Se référer à la puissance fiscale indiquée sur la carte grise du véhicule (indice P6)</t>
    <phoneticPr fontId="9" type="noConversion"/>
  </si>
  <si>
    <t>Train</t>
    <phoneticPr fontId="9" type="noConversion"/>
  </si>
  <si>
    <t>Avion</t>
    <phoneticPr fontId="9" type="noConversion"/>
  </si>
  <si>
    <t xml:space="preserve">POUR INFORMATION </t>
    <phoneticPr fontId="9" type="noConversion"/>
  </si>
  <si>
    <t>Montant des droits de représentation et conférence ou signature</t>
    <phoneticPr fontId="3" type="noConversion"/>
  </si>
  <si>
    <t xml:space="preserve">Vente d'une œuvre photographique </t>
    <phoneticPr fontId="3" type="noConversion"/>
  </si>
  <si>
    <t>Organisme</t>
    <phoneticPr fontId="9" type="noConversion"/>
  </si>
  <si>
    <t>de 10 à 25 % dans les deux cas</t>
    <phoneticPr fontId="9" type="noConversion"/>
  </si>
  <si>
    <t>de 1000 à 10 000</t>
    <phoneticPr fontId="9" type="noConversion"/>
  </si>
  <si>
    <t>KM</t>
    <phoneticPr fontId="3" type="noConversion"/>
  </si>
  <si>
    <t>Indiquez par une croix la catégorie à laquelle vous pensez correspondre et précisez en modifiant la valeur de référence. Le tableau fera les calcul automatiquement en fonction de votre format.</t>
    <phoneticPr fontId="9" type="noConversion"/>
  </si>
  <si>
    <t>ÉLÉMENTS TRANSFÉRÉS AUTOMATIQUEMENT SUR LES FACTURES</t>
    <phoneticPr fontId="9" type="noConversion"/>
  </si>
  <si>
    <t>forfaitaire</t>
    <phoneticPr fontId="9" type="noConversion"/>
  </si>
  <si>
    <t>Nombre total d'œuvres :</t>
    <phoneticPr fontId="3" type="noConversion"/>
  </si>
  <si>
    <t>N°sec soc:</t>
  </si>
  <si>
    <t>N°siret :</t>
  </si>
  <si>
    <t>00000 VILLE</t>
    <phoneticPr fontId="3" type="noConversion"/>
  </si>
  <si>
    <t>000 000 000 00000</t>
    <phoneticPr fontId="3" type="noConversion"/>
  </si>
  <si>
    <t>Hôtel 3 étoiles Grandes Villes</t>
    <phoneticPr fontId="9" type="noConversion"/>
  </si>
  <si>
    <t>Franchise</t>
    <phoneticPr fontId="3" type="noConversion"/>
  </si>
  <si>
    <t>HT vers TTC</t>
    <phoneticPr fontId="9" type="noConversion"/>
  </si>
  <si>
    <t>Fréquentation pour la durée de l'événement</t>
    <phoneticPr fontId="9" type="noConversion"/>
  </si>
  <si>
    <t xml:space="preserve"> Montant moyen </t>
  </si>
  <si>
    <t>de 1 à 10</t>
  </si>
  <si>
    <t>de 11 à 20</t>
  </si>
  <si>
    <t>de 21 à 30</t>
  </si>
  <si>
    <t xml:space="preserve">Prix par photo pour organismes à but non lucratif, majoré pour les organismes à but lucratif </t>
    <phoneticPr fontId="9" type="noConversion"/>
  </si>
  <si>
    <t>de 11 à 20 exemplaires</t>
    <phoneticPr fontId="9" type="noConversion"/>
  </si>
  <si>
    <t>de 21 à 30 exemplaires</t>
    <phoneticPr fontId="9" type="noConversion"/>
  </si>
  <si>
    <t>Haut.</t>
    <phoneticPr fontId="9" type="noConversion"/>
  </si>
  <si>
    <t>x</t>
    <phoneticPr fontId="9" type="noConversion"/>
  </si>
  <si>
    <t>Remplir manuellement dans le cas des frais réèls, se remplit automatiquement en cas d'option Forfaitaire</t>
    <phoneticPr fontId="9" type="noConversion"/>
  </si>
  <si>
    <t>Frais réels</t>
    <phoneticPr fontId="9" type="noConversion"/>
  </si>
  <si>
    <t>Hébergement</t>
    <phoneticPr fontId="9" type="noConversion"/>
  </si>
  <si>
    <t>FORMAT DU TIRAGE</t>
    <phoneticPr fontId="9" type="noConversion"/>
  </si>
  <si>
    <t xml:space="preserve">Majoration lieu "prestige" </t>
    <phoneticPr fontId="9" type="noConversion"/>
  </si>
  <si>
    <t xml:space="preserve">Exposition à but </t>
  </si>
  <si>
    <t>Nombre de photos exposées</t>
    <phoneticPr fontId="9" type="noConversion"/>
  </si>
  <si>
    <t xml:space="preserve">PRIX DE L'ŒUVRE HT :  </t>
    <phoneticPr fontId="9" type="noConversion"/>
  </si>
  <si>
    <t>émergent</t>
    <phoneticPr fontId="9" type="noConversion"/>
  </si>
  <si>
    <t>confirmé</t>
    <phoneticPr fontId="9" type="noConversion"/>
  </si>
  <si>
    <t>reconnu</t>
    <phoneticPr fontId="9" type="noConversion"/>
  </si>
  <si>
    <t xml:space="preserve"> A partir de 70 euros ….</t>
    <phoneticPr fontId="9" type="noConversion"/>
  </si>
  <si>
    <t>Frais de carburant</t>
    <phoneticPr fontId="9" type="noConversion"/>
  </si>
  <si>
    <t>de 30/30 à 100/100</t>
    <phoneticPr fontId="9" type="noConversion"/>
  </si>
  <si>
    <t>&lt;30/30</t>
    <phoneticPr fontId="9" type="noConversion"/>
  </si>
  <si>
    <t>plus de 100/100</t>
    <phoneticPr fontId="9" type="noConversion"/>
  </si>
  <si>
    <t>Indiquez le format moyen de vos tirages</t>
    <phoneticPr fontId="9" type="noConversion"/>
  </si>
  <si>
    <t>Proposition de variations des points en fonction des formats, mettre une croix pour automatiser les calculs</t>
    <phoneticPr fontId="9" type="noConversion"/>
  </si>
  <si>
    <t xml:space="preserve">Vente en  galerie  </t>
    <phoneticPr fontId="9" type="noConversion"/>
  </si>
  <si>
    <t>Indemnités kilométriques</t>
    <phoneticPr fontId="9" type="noConversion"/>
  </si>
  <si>
    <t>Barème moto</t>
  </si>
  <si>
    <t>Hauteur</t>
    <phoneticPr fontId="9" type="noConversion"/>
  </si>
  <si>
    <t xml:space="preserve">labo </t>
    <phoneticPr fontId="9" type="noConversion"/>
  </si>
  <si>
    <t>Pourcentage supplémentaire pour les imprévus hébergement et transport</t>
    <phoneticPr fontId="9" type="noConversion"/>
  </si>
  <si>
    <t>Forfait km</t>
    <phoneticPr fontId="9" type="noConversion"/>
  </si>
  <si>
    <t>Frais réels</t>
    <phoneticPr fontId="9" type="noConversion"/>
  </si>
  <si>
    <t>Vélo</t>
    <phoneticPr fontId="9" type="noConversion"/>
  </si>
  <si>
    <t xml:space="preserve">FACTURE N° </t>
    <phoneticPr fontId="3"/>
  </si>
  <si>
    <t>Indiquer la durée en mois décimal</t>
    <phoneticPr fontId="9" type="noConversion"/>
  </si>
  <si>
    <t>Voiture</t>
    <phoneticPr fontId="9" type="noConversion"/>
  </si>
  <si>
    <t>TOTAL</t>
    <phoneticPr fontId="9" type="noConversion"/>
  </si>
  <si>
    <t>Hôtel 3 étoiles Autres villes</t>
    <phoneticPr fontId="9" type="noConversion"/>
  </si>
  <si>
    <t>forfait[s]</t>
    <phoneticPr fontId="9" type="noConversion"/>
  </si>
  <si>
    <t>Les œuvres exposées sont sous la responsabilité du lieu qui accueille l'exposition</t>
    <phoneticPr fontId="3" type="noConversion"/>
  </si>
  <si>
    <t>x</t>
    <phoneticPr fontId="9" type="noConversion"/>
  </si>
  <si>
    <t>30/30 à 100/100</t>
    <phoneticPr fontId="9" type="noConversion"/>
  </si>
  <si>
    <t>de 31 à 50</t>
  </si>
  <si>
    <t>de 51 à 100</t>
  </si>
  <si>
    <t>plus de 100</t>
  </si>
  <si>
    <t xml:space="preserve">ÉVALUATION DES INDEMNITÉS KILOMÉTRIQUES </t>
    <phoneticPr fontId="9" type="noConversion"/>
  </si>
  <si>
    <t>FRAIS RÉELS (AVEC JUSTIFICATIFS)</t>
    <phoneticPr fontId="9" type="noConversion"/>
  </si>
  <si>
    <t>TOTAL</t>
    <phoneticPr fontId="9" type="noConversion"/>
  </si>
  <si>
    <t>Hôtel / P.Dej</t>
    <phoneticPr fontId="9" type="noConversion"/>
  </si>
  <si>
    <t>Total HT</t>
    <phoneticPr fontId="9" type="noConversion"/>
  </si>
  <si>
    <t xml:space="preserve">Ces lignes se remplissent automatiquement avec les tableaux de détails ci-dessus </t>
  </si>
  <si>
    <t xml:space="preserve">de 10 000 à 25 000 </t>
    <phoneticPr fontId="9" type="noConversion"/>
  </si>
  <si>
    <t>Ajustement de fréquentation</t>
    <phoneticPr fontId="9" type="noConversion"/>
  </si>
  <si>
    <t>automatique avec la cession de droits</t>
    <phoneticPr fontId="9" type="noConversion"/>
  </si>
  <si>
    <t xml:space="preserve">Les cases jaunes sont modifiables pour s'adapter à votre projet </t>
    <phoneticPr fontId="9" type="noConversion"/>
  </si>
  <si>
    <t>Conformément à l’article 98A de l’annexe III alinéa 7 du CGI. Ce tirage est considéré fiscalement comme œuvre d’Art conformément à la loi Française.</t>
  </si>
  <si>
    <t>plus de 25 000</t>
    <phoneticPr fontId="9" type="noConversion"/>
  </si>
  <si>
    <t>1 ou 2</t>
    <phoneticPr fontId="3" type="noConversion"/>
  </si>
  <si>
    <t>Détail des frais réels relatifs à l'hébergement et la restauration.</t>
    <phoneticPr fontId="9" type="noConversion"/>
  </si>
  <si>
    <t>Hotel / Pdéj</t>
    <phoneticPr fontId="9" type="noConversion"/>
  </si>
  <si>
    <t>Suppléments</t>
    <phoneticPr fontId="9" type="noConversion"/>
  </si>
  <si>
    <r>
      <t>Total forfaits</t>
    </r>
    <r>
      <rPr>
        <b/>
        <vertAlign val="superscript"/>
        <sz val="11"/>
        <color indexed="9"/>
        <rFont val="Arial"/>
        <family val="2"/>
      </rPr>
      <t>(1)</t>
    </r>
    <phoneticPr fontId="9" type="noConversion"/>
  </si>
  <si>
    <t>Description de l'œuvre et/ou titre de l'œuvre</t>
    <phoneticPr fontId="3" type="noConversion"/>
  </si>
  <si>
    <t>Parking</t>
    <phoneticPr fontId="9" type="noConversion"/>
  </si>
  <si>
    <t>Taxi</t>
    <phoneticPr fontId="9" type="noConversion"/>
  </si>
  <si>
    <t>Total TTC</t>
    <phoneticPr fontId="9" type="noConversion"/>
  </si>
  <si>
    <t>Montant de la valeur du point  "confirmé"</t>
    <phoneticPr fontId="9" type="noConversion"/>
  </si>
  <si>
    <t>Franchise</t>
    <phoneticPr fontId="9" type="noConversion"/>
  </si>
  <si>
    <t xml:space="preserve">Exposition confiée pour une durée de </t>
    <phoneticPr fontId="9" type="noConversion"/>
  </si>
  <si>
    <t xml:space="preserve">mois </t>
    <phoneticPr fontId="9" type="noConversion"/>
  </si>
  <si>
    <t>Cette colonne permet de choisir le coefficient que l'on souhaite appliquer au format</t>
    <phoneticPr fontId="9" type="noConversion"/>
  </si>
  <si>
    <t>Signature ou conférence :</t>
    <phoneticPr fontId="9" type="noConversion"/>
  </si>
  <si>
    <t>Titre de l'exposition :</t>
    <phoneticPr fontId="3" type="noConversion"/>
  </si>
  <si>
    <t>sur la base du BOI 2018</t>
    <phoneticPr fontId="9" type="noConversion"/>
  </si>
  <si>
    <t>Barème voiture</t>
    <phoneticPr fontId="3" type="noConversion"/>
  </si>
  <si>
    <t>CV</t>
    <phoneticPr fontId="3" type="noConversion"/>
  </si>
  <si>
    <t>moins de 30/30</t>
    <phoneticPr fontId="9" type="noConversion"/>
  </si>
  <si>
    <t>faire une X</t>
    <phoneticPr fontId="9" type="noConversion"/>
  </si>
  <si>
    <t>Nombre d'exemplaires sur lequel appliquer une majoration</t>
    <phoneticPr fontId="9" type="noConversion"/>
  </si>
  <si>
    <t>Péages</t>
    <phoneticPr fontId="9" type="noConversion"/>
  </si>
  <si>
    <t>Suppléments Div. (Tel,..)</t>
    <phoneticPr fontId="9" type="noConversion"/>
  </si>
  <si>
    <t>TTC vers HT</t>
    <phoneticPr fontId="9" type="noConversion"/>
  </si>
  <si>
    <t>x</t>
    <phoneticPr fontId="9" type="noConversion"/>
  </si>
  <si>
    <t>&lt;par défaut&gt;</t>
    <phoneticPr fontId="9" type="noConversion"/>
  </si>
  <si>
    <t>ENCADREUR</t>
    <phoneticPr fontId="9" type="noConversion"/>
  </si>
  <si>
    <t>x</t>
    <phoneticPr fontId="9" type="noConversion"/>
  </si>
  <si>
    <t>x</t>
  </si>
  <si>
    <r>
      <t>Les % ci dessous sont donnés par défaut pour plus de précision indiquer les prix case "</t>
    </r>
    <r>
      <rPr>
        <b/>
        <i/>
        <sz val="10"/>
        <color indexed="8"/>
        <rFont val="Arial"/>
        <family val="2"/>
      </rPr>
      <t>cout de production tirage"</t>
    </r>
    <r>
      <rPr>
        <i/>
        <sz val="10"/>
        <color indexed="8"/>
        <rFont val="Arial"/>
        <family val="2"/>
      </rPr>
      <t>. Si le tirage n'est pas vendu encadré inscrire 0% dans la colonne "montage"</t>
    </r>
  </si>
  <si>
    <t>Indice de base pour la valeur "émergent"</t>
  </si>
  <si>
    <t>Picto</t>
  </si>
  <si>
    <t>montage</t>
  </si>
  <si>
    <t>Par défaut le prix qui s'affiche est une valeur haute constaté en laboratoire pour le tirage et un montage dibond estimé</t>
  </si>
  <si>
    <t xml:space="preserve">Format max </t>
  </si>
  <si>
    <t>150x250</t>
  </si>
  <si>
    <t>Conforme à la définition fiscale de l'œuvre d'art</t>
  </si>
  <si>
    <t>Par défaut le coefficient qui s'affiche est le plus bas proposé,</t>
  </si>
  <si>
    <t xml:space="preserve"> vous pouvez le changer manuellement, (vous perdrez l'automatisme)</t>
  </si>
  <si>
    <t>Expo organisée par des clients ou à entrée payante</t>
  </si>
  <si>
    <t>Personnalisable</t>
  </si>
  <si>
    <t>PROPOSITION DE PRIX PROGRESSIF EN FONCTION DES VENTES pour les séries jusqu'à 15</t>
  </si>
  <si>
    <t>coeff</t>
  </si>
  <si>
    <t>Prix majoré</t>
  </si>
  <si>
    <t>Pour des séries de 1 à 15 tirages</t>
  </si>
  <si>
    <t xml:space="preserve">Ce tableau n'est pas automatisé et la valeur annoncée ne tient pas compte des frais de fabrication qu'il vous faudra ajouter pour obtenir le prix de vente </t>
  </si>
  <si>
    <t xml:space="preserve">point de base </t>
  </si>
  <si>
    <t>Option "expert"</t>
  </si>
  <si>
    <t>Vous pouvez faire varier la valeur du point en fonction de la rareté, difficulté du projet ou de votre expérience</t>
  </si>
  <si>
    <t>Mettre une X si le cadre est démontable.</t>
  </si>
  <si>
    <t>Cette option influe sur le taux de TVA figurant sur la facture de vente,  la valeur du cadre doit apparaitre en détail</t>
  </si>
  <si>
    <t>Chaque série peut comporter un ou deux tirage d'artiste ,non numeroté et non disponible à la vente tout en pouvant faire partie d'exposition et donc générer des droits de représentation</t>
  </si>
  <si>
    <t xml:space="preserve">Certains artistes augmentent le prix des œuvres au fur et à mesure des ventes jusqu'à épuisement de la série. J'a limité les séries à 15 exemplaires en partant du principe que pour valoriser en fonction du nombre de vente il fallait tout de même conserver la "rareté" des tirages </t>
  </si>
  <si>
    <t>Émergent 30€ à 60€</t>
  </si>
  <si>
    <t>Émergent niveau 1 ➧ x / niveau 2 ➧ xx / niveau 3 ➧ xxx</t>
  </si>
  <si>
    <t>Confirmé ≥ 70€</t>
  </si>
  <si>
    <t>Vous vous considérez comme un-e artiste</t>
  </si>
  <si>
    <r>
      <t>Vos œuvres sont numérotées jusqu'à</t>
    </r>
    <r>
      <rPr>
        <vertAlign val="superscript"/>
        <sz val="12"/>
        <color rgb="FFFFFFFF"/>
        <rFont val="Geneva"/>
        <family val="2"/>
      </rPr>
      <t xml:space="preserve"> (1)</t>
    </r>
  </si>
  <si>
    <r>
      <t>Case à cocher pour majoration/minoration</t>
    </r>
    <r>
      <rPr>
        <vertAlign val="superscript"/>
        <sz val="12"/>
        <color indexed="9"/>
        <rFont val="Geneva"/>
        <family val="2"/>
        <charset val="1"/>
      </rPr>
      <t>(2)</t>
    </r>
  </si>
  <si>
    <r>
      <t>(2)</t>
    </r>
    <r>
      <rPr>
        <i/>
        <sz val="10"/>
        <rFont val="Geneva"/>
        <family val="2"/>
        <charset val="1"/>
      </rPr>
      <t xml:space="preserve"> Les valeurs calculées le sont pour un format moyen. Il est possible de majorer le prix pour les petits formats et les minorer pour les grands formats en cochant la case indiquée.</t>
    </r>
  </si>
  <si>
    <r>
      <t>(1)</t>
    </r>
    <r>
      <rPr>
        <i/>
        <sz val="9"/>
        <rFont val="Geneva"/>
        <family val="2"/>
        <charset val="1"/>
      </rPr>
      <t xml:space="preserve"> Si vous souhaitez appliquer une majoration lorsque la numérotation des tirages est</t>
    </r>
    <r>
      <rPr>
        <b/>
        <i/>
        <sz val="9"/>
        <rFont val="Geneva"/>
        <family val="2"/>
      </rPr>
      <t xml:space="preserve"> inférieur à 10 oeuvres</t>
    </r>
    <r>
      <rPr>
        <i/>
        <sz val="9"/>
        <rFont val="Geneva"/>
        <family val="2"/>
        <charset val="1"/>
      </rPr>
      <t>, indiquez ci-contre la majoration (par exemple pour une œuvre unique de 300 à 500%, pour</t>
    </r>
    <r>
      <rPr>
        <b/>
        <i/>
        <sz val="9"/>
        <rFont val="Geneva"/>
        <family val="2"/>
      </rPr>
      <t xml:space="preserve"> 3 à 5 œuvres</t>
    </r>
    <r>
      <rPr>
        <i/>
        <sz val="9"/>
        <rFont val="Geneva"/>
        <family val="2"/>
        <charset val="1"/>
      </rPr>
      <t xml:space="preserve"> de 80 à 100% et pour </t>
    </r>
    <r>
      <rPr>
        <b/>
        <i/>
        <sz val="9"/>
        <rFont val="Geneva"/>
        <family val="2"/>
      </rPr>
      <t xml:space="preserve">6 à 9 œuvres </t>
    </r>
    <r>
      <rPr>
        <i/>
        <sz val="9"/>
        <rFont val="Geneva"/>
        <family val="2"/>
        <charset val="1"/>
      </rPr>
      <t>de 30 à 50%)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</si>
</sst>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6">
    <numFmt numFmtId="7" formatCode="#,##0.00\ &quot;€&quot;_);\(#,##0.00\ &quot;€&quot;\)"/>
    <numFmt numFmtId="44" formatCode="_ * #,##0.00_)\ &quot;€&quot;_ ;_ * \(#,##0.00\)\ &quot;€&quot;_ ;_ * &quot;-&quot;??_)\ &quot;€&quot;_ ;_ @_ "/>
    <numFmt numFmtId="164" formatCode="_-* #,##0.00&quot;€&quot;_-;\-* #,##0.00&quot;€&quot;_-;_-* &quot;-&quot;??&quot;€&quot;_-;_-@_-"/>
    <numFmt numFmtId="165" formatCode="_-* #,##0.00&quot; €&quot;_-;\-* #,##0.00&quot; €&quot;_-;_-* &quot;-&quot;??&quot; €&quot;_-;_-@_-"/>
    <numFmt numFmtId="166" formatCode="d\ mmmm\ yyyy"/>
    <numFmt numFmtId="167" formatCode="#,##0.00&quot; €&quot;"/>
    <numFmt numFmtId="168" formatCode="#,##0.00&quot;€&quot;;[Red]#,##0.00&quot;€&quot;"/>
    <numFmt numFmtId="169" formatCode="0.000"/>
    <numFmt numFmtId="170" formatCode="#,##0&quot;€&quot;;[Red]#,##0&quot;€&quot;"/>
    <numFmt numFmtId="171" formatCode="#,##0.00\ &quot;€&quot;;\-#,##0.00\ &quot;€&quot;"/>
    <numFmt numFmtId="172" formatCode="#,##0.00_€"/>
    <numFmt numFmtId="173" formatCode="#,##0\ &quot;€&quot;;\-#,##0\ &quot;€&quot;"/>
    <numFmt numFmtId="174" formatCode="_(&quot;€&quot;* #,##0.00_);_(&quot;€&quot;* \(#,##0.00\);_(&quot;€&quot;* &quot;-&quot;??_);_(@_)"/>
    <numFmt numFmtId="175" formatCode="_(* #,##0.00_);_(* \(#,##0.00\);_(* &quot;-&quot;??_);_(@_)"/>
    <numFmt numFmtId="176" formatCode="#,##0\ &quot;€&quot;"/>
    <numFmt numFmtId="177" formatCode="#,##0\ &quot;€&quot;;[Red]#,##0\ &quot;€&quot;"/>
  </numFmts>
  <fonts count="175" x14ac:knownFonts="1">
    <font>
      <sz val="9"/>
      <name val="Geneva"/>
      <charset val="1"/>
    </font>
    <font>
      <b/>
      <sz val="9"/>
      <name val="Geneva"/>
      <family val="2"/>
    </font>
    <font>
      <sz val="9"/>
      <name val="Geneva"/>
      <family val="2"/>
      <charset val="1"/>
    </font>
    <font>
      <sz val="8"/>
      <name val="Verdana"/>
      <family val="2"/>
    </font>
    <font>
      <sz val="9"/>
      <name val="Arial"/>
      <family val="2"/>
    </font>
    <font>
      <i/>
      <sz val="9"/>
      <name val="Arial"/>
      <family val="2"/>
    </font>
    <font>
      <b/>
      <sz val="9"/>
      <name val="Arial"/>
      <family val="2"/>
    </font>
    <font>
      <i/>
      <sz val="8"/>
      <name val="Arial"/>
      <family val="2"/>
    </font>
    <font>
      <sz val="10"/>
      <name val="Arial"/>
      <family val="2"/>
    </font>
    <font>
      <sz val="8"/>
      <name val="Arial"/>
      <family val="2"/>
    </font>
    <font>
      <i/>
      <sz val="7"/>
      <name val="Arial"/>
      <family val="2"/>
    </font>
    <font>
      <sz val="6"/>
      <name val="Arial"/>
      <family val="2"/>
    </font>
    <font>
      <sz val="6.5"/>
      <name val="Arial"/>
      <family val="2"/>
    </font>
    <font>
      <sz val="12"/>
      <name val="Arial"/>
      <family val="2"/>
    </font>
    <font>
      <b/>
      <sz val="8"/>
      <name val="Arial"/>
      <family val="2"/>
    </font>
    <font>
      <b/>
      <sz val="11"/>
      <name val="Arial"/>
      <family val="2"/>
    </font>
    <font>
      <sz val="11"/>
      <name val="Century Gothic"/>
      <family val="1"/>
    </font>
    <font>
      <b/>
      <sz val="12"/>
      <name val="Century Gothic"/>
      <family val="1"/>
    </font>
    <font>
      <sz val="10"/>
      <name val="Century Gothic"/>
      <family val="1"/>
    </font>
    <font>
      <i/>
      <sz val="8"/>
      <name val="Century Gothic"/>
      <family val="1"/>
    </font>
    <font>
      <b/>
      <sz val="14"/>
      <name val="Century Gothic"/>
      <family val="1"/>
    </font>
    <font>
      <b/>
      <sz val="12"/>
      <color indexed="23"/>
      <name val="Century Gothic"/>
      <family val="1"/>
    </font>
    <font>
      <sz val="11"/>
      <color indexed="8"/>
      <name val="Calibri"/>
      <family val="2"/>
    </font>
    <font>
      <i/>
      <sz val="8"/>
      <color indexed="55"/>
      <name val="Arial"/>
      <family val="2"/>
    </font>
    <font>
      <i/>
      <sz val="8"/>
      <color indexed="23"/>
      <name val="Arial"/>
      <family val="2"/>
    </font>
    <font>
      <b/>
      <sz val="10"/>
      <name val="Century Gothic"/>
      <family val="1"/>
    </font>
    <font>
      <b/>
      <sz val="10"/>
      <name val="Arial"/>
      <family val="2"/>
    </font>
    <font>
      <b/>
      <sz val="12"/>
      <name val="Arial"/>
      <family val="2"/>
    </font>
    <font>
      <b/>
      <sz val="12"/>
      <name val="Verdana"/>
      <family val="2"/>
    </font>
    <font>
      <b/>
      <sz val="12"/>
      <color indexed="9"/>
      <name val="Arial"/>
      <family val="2"/>
    </font>
    <font>
      <sz val="11"/>
      <name val="Arial"/>
      <family val="2"/>
    </font>
    <font>
      <b/>
      <sz val="12"/>
      <color indexed="10"/>
      <name val="Arial"/>
      <family val="2"/>
    </font>
    <font>
      <b/>
      <sz val="14"/>
      <color indexed="9"/>
      <name val="Arial"/>
      <family val="2"/>
    </font>
    <font>
      <i/>
      <sz val="10"/>
      <name val="Arial"/>
      <family val="2"/>
    </font>
    <font>
      <b/>
      <sz val="14"/>
      <name val="Arial"/>
      <family val="2"/>
    </font>
    <font>
      <b/>
      <sz val="10"/>
      <color indexed="9"/>
      <name val="Arial"/>
      <family val="2"/>
    </font>
    <font>
      <sz val="11"/>
      <name val="Geneva"/>
      <family val="2"/>
      <charset val="1"/>
    </font>
    <font>
      <sz val="16"/>
      <name val="Garamond"/>
      <family val="1"/>
    </font>
    <font>
      <sz val="14"/>
      <name val="Garamond"/>
      <family val="1"/>
    </font>
    <font>
      <sz val="12"/>
      <name val="Garamond"/>
      <family val="1"/>
    </font>
    <font>
      <sz val="11"/>
      <name val="Garamond"/>
      <family val="1"/>
    </font>
    <font>
      <sz val="18"/>
      <name val="Monotype Corsiva"/>
      <family val="4"/>
    </font>
    <font>
      <sz val="12"/>
      <name val="Times New Roman"/>
      <family val="1"/>
    </font>
    <font>
      <i/>
      <sz val="10"/>
      <name val="Garamond"/>
      <family val="1"/>
    </font>
    <font>
      <i/>
      <sz val="10"/>
      <name val="Times New Roman"/>
      <family val="1"/>
    </font>
    <font>
      <sz val="11"/>
      <color indexed="9"/>
      <name val="Arial"/>
      <family val="2"/>
    </font>
    <font>
      <b/>
      <sz val="11"/>
      <color indexed="9"/>
      <name val="Arial"/>
      <family val="2"/>
    </font>
    <font>
      <i/>
      <sz val="12"/>
      <name val="Arial"/>
      <family val="2"/>
    </font>
    <font>
      <i/>
      <sz val="11"/>
      <name val="Arial"/>
      <family val="2"/>
    </font>
    <font>
      <b/>
      <sz val="16"/>
      <color indexed="22"/>
      <name val="Arial"/>
      <family val="2"/>
    </font>
    <font>
      <b/>
      <sz val="16"/>
      <name val="Arial"/>
      <family val="2"/>
    </font>
    <font>
      <b/>
      <sz val="16"/>
      <color indexed="8"/>
      <name val="Arial"/>
      <family val="2"/>
    </font>
    <font>
      <sz val="18"/>
      <name val="Arial"/>
      <family val="2"/>
    </font>
    <font>
      <b/>
      <sz val="24"/>
      <name val="Arial"/>
      <family val="2"/>
    </font>
    <font>
      <b/>
      <sz val="18"/>
      <name val="Arial"/>
      <family val="2"/>
    </font>
    <font>
      <sz val="16"/>
      <name val="Arial"/>
      <family val="2"/>
    </font>
    <font>
      <sz val="14"/>
      <name val="Arial"/>
      <family val="2"/>
    </font>
    <font>
      <i/>
      <sz val="16"/>
      <name val="Arial"/>
      <family val="2"/>
    </font>
    <font>
      <b/>
      <i/>
      <sz val="16"/>
      <name val="Arial"/>
      <family val="2"/>
    </font>
    <font>
      <b/>
      <i/>
      <sz val="11"/>
      <color indexed="9"/>
      <name val="Arial"/>
      <family val="2"/>
    </font>
    <font>
      <b/>
      <sz val="16"/>
      <color indexed="9"/>
      <name val="Arial"/>
      <family val="2"/>
    </font>
    <font>
      <sz val="16"/>
      <color indexed="9"/>
      <name val="Interstate-Regular"/>
    </font>
    <font>
      <sz val="12"/>
      <color indexed="9"/>
      <name val="Arial"/>
      <family val="2"/>
    </font>
    <font>
      <b/>
      <sz val="14"/>
      <name val="Wingdings 3"/>
      <charset val="2"/>
    </font>
    <font>
      <i/>
      <sz val="16"/>
      <name val="Calibri"/>
      <family val="2"/>
    </font>
    <font>
      <u/>
      <sz val="11"/>
      <name val="Arial"/>
      <family val="2"/>
    </font>
    <font>
      <b/>
      <u/>
      <sz val="14"/>
      <name val="Arial"/>
      <family val="2"/>
    </font>
    <font>
      <sz val="16"/>
      <color indexed="9"/>
      <name val="Arial"/>
      <family val="2"/>
    </font>
    <font>
      <sz val="12"/>
      <color indexed="8"/>
      <name val="Interstate-Regular"/>
    </font>
    <font>
      <sz val="11"/>
      <color indexed="48"/>
      <name val="Arial"/>
      <family val="2"/>
    </font>
    <font>
      <b/>
      <sz val="13"/>
      <color indexed="9"/>
      <name val="Arial"/>
      <family val="2"/>
    </font>
    <font>
      <sz val="13"/>
      <name val="Arial"/>
      <family val="2"/>
    </font>
    <font>
      <b/>
      <sz val="15"/>
      <color indexed="8"/>
      <name val="Calibri"/>
      <family val="2"/>
    </font>
    <font>
      <i/>
      <sz val="15"/>
      <color indexed="8"/>
      <name val="Calibri"/>
      <family val="2"/>
    </font>
    <font>
      <sz val="15"/>
      <name val="Calibri"/>
      <family val="2"/>
    </font>
    <font>
      <sz val="13"/>
      <color indexed="9"/>
      <name val="Arial"/>
      <family val="2"/>
    </font>
    <font>
      <sz val="9"/>
      <name val="Arial Black"/>
      <family val="2"/>
    </font>
    <font>
      <b/>
      <sz val="12"/>
      <color indexed="9"/>
      <name val="Interstate-Regular"/>
    </font>
    <font>
      <i/>
      <sz val="18"/>
      <color indexed="63"/>
      <name val="Calibri"/>
      <family val="2"/>
    </font>
    <font>
      <sz val="18"/>
      <name val="Calibri"/>
      <family val="2"/>
    </font>
    <font>
      <i/>
      <sz val="14"/>
      <name val="Arial"/>
      <family val="2"/>
    </font>
    <font>
      <i/>
      <sz val="9"/>
      <color indexed="40"/>
      <name val="Arial"/>
      <family val="2"/>
    </font>
    <font>
      <b/>
      <vertAlign val="superscript"/>
      <sz val="11"/>
      <color indexed="9"/>
      <name val="Arial"/>
      <family val="2"/>
    </font>
    <font>
      <i/>
      <sz val="10"/>
      <color indexed="55"/>
      <name val="Arial"/>
      <family val="2"/>
    </font>
    <font>
      <i/>
      <sz val="12"/>
      <color indexed="8"/>
      <name val="Arial"/>
      <family val="2"/>
    </font>
    <font>
      <b/>
      <i/>
      <sz val="9"/>
      <color indexed="8"/>
      <name val="Arial"/>
      <family val="2"/>
    </font>
    <font>
      <i/>
      <sz val="10"/>
      <name val="Geneva"/>
      <family val="2"/>
      <charset val="1"/>
    </font>
    <font>
      <sz val="16"/>
      <name val="Geneva"/>
      <family val="2"/>
      <charset val="1"/>
    </font>
    <font>
      <b/>
      <sz val="20"/>
      <color indexed="9"/>
      <name val="Arial"/>
      <family val="2"/>
    </font>
    <font>
      <b/>
      <i/>
      <sz val="12"/>
      <name val="Arial"/>
      <family val="2"/>
    </font>
    <font>
      <b/>
      <i/>
      <sz val="18"/>
      <name val="Arial"/>
      <family val="2"/>
    </font>
    <font>
      <b/>
      <sz val="12"/>
      <color indexed="63"/>
      <name val="Arial"/>
      <family val="2"/>
    </font>
    <font>
      <b/>
      <sz val="16"/>
      <color indexed="63"/>
      <name val="Arial"/>
      <family val="2"/>
    </font>
    <font>
      <sz val="14"/>
      <name val="Geneva"/>
      <family val="2"/>
      <charset val="1"/>
    </font>
    <font>
      <sz val="12"/>
      <name val="Geneva"/>
      <family val="2"/>
      <charset val="1"/>
    </font>
    <font>
      <i/>
      <sz val="11"/>
      <name val="Geneva"/>
      <family val="2"/>
      <charset val="1"/>
    </font>
    <font>
      <b/>
      <sz val="14"/>
      <name val="Geneva"/>
      <family val="2"/>
      <charset val="1"/>
    </font>
    <font>
      <sz val="12"/>
      <color indexed="9"/>
      <name val="Geneva"/>
      <family val="2"/>
      <charset val="1"/>
    </font>
    <font>
      <b/>
      <sz val="11"/>
      <color indexed="9"/>
      <name val="Geneva"/>
      <family val="2"/>
      <charset val="1"/>
    </font>
    <font>
      <i/>
      <sz val="11"/>
      <color indexed="9"/>
      <name val="Geneva"/>
      <family val="2"/>
      <charset val="1"/>
    </font>
    <font>
      <b/>
      <sz val="13"/>
      <name val="Geneva"/>
      <family val="2"/>
      <charset val="1"/>
    </font>
    <font>
      <sz val="11"/>
      <color indexed="9"/>
      <name val="Geneva"/>
      <family val="2"/>
      <charset val="1"/>
    </font>
    <font>
      <sz val="13"/>
      <color indexed="9"/>
      <name val="Geneva"/>
      <family val="2"/>
      <charset val="1"/>
    </font>
    <font>
      <sz val="12"/>
      <color indexed="8"/>
      <name val="Calibri"/>
      <family val="2"/>
    </font>
    <font>
      <b/>
      <sz val="12"/>
      <name val="Geneva"/>
      <family val="2"/>
      <charset val="1"/>
    </font>
    <font>
      <sz val="9"/>
      <color indexed="9"/>
      <name val="Geneva"/>
      <family val="2"/>
      <charset val="1"/>
    </font>
    <font>
      <sz val="8"/>
      <color indexed="9"/>
      <name val="Geneva"/>
      <family val="2"/>
      <charset val="1"/>
    </font>
    <font>
      <sz val="12"/>
      <color indexed="22"/>
      <name val="Geneva"/>
      <family val="2"/>
      <charset val="1"/>
    </font>
    <font>
      <vertAlign val="superscript"/>
      <sz val="12"/>
      <color indexed="9"/>
      <name val="Geneva"/>
      <family val="2"/>
      <charset val="1"/>
    </font>
    <font>
      <b/>
      <sz val="12"/>
      <color indexed="22"/>
      <name val="Arial"/>
      <family val="2"/>
    </font>
    <font>
      <b/>
      <sz val="16"/>
      <color indexed="23"/>
      <name val="Arial"/>
      <family val="2"/>
    </font>
    <font>
      <sz val="8"/>
      <name val="Geneva"/>
      <family val="2"/>
      <charset val="1"/>
    </font>
    <font>
      <i/>
      <vertAlign val="superscript"/>
      <sz val="10"/>
      <name val="Geneva"/>
      <family val="2"/>
      <charset val="1"/>
    </font>
    <font>
      <b/>
      <sz val="10"/>
      <color indexed="9"/>
      <name val="Geneva"/>
      <family val="2"/>
      <charset val="1"/>
    </font>
    <font>
      <i/>
      <sz val="10"/>
      <color indexed="8"/>
      <name val="Arial"/>
      <family val="2"/>
    </font>
    <font>
      <b/>
      <i/>
      <sz val="10"/>
      <color indexed="8"/>
      <name val="Arial"/>
      <family val="2"/>
    </font>
    <font>
      <i/>
      <vertAlign val="superscript"/>
      <sz val="9"/>
      <name val="Geneva"/>
      <family val="2"/>
      <charset val="1"/>
    </font>
    <font>
      <i/>
      <sz val="9"/>
      <name val="Geneva"/>
      <family val="2"/>
      <charset val="1"/>
    </font>
    <font>
      <sz val="9"/>
      <color theme="1"/>
      <name val="Geneva"/>
      <family val="2"/>
      <charset val="1"/>
    </font>
    <font>
      <b/>
      <sz val="11"/>
      <color theme="1"/>
      <name val="Geneva"/>
      <family val="2"/>
      <charset val="1"/>
    </font>
    <font>
      <b/>
      <sz val="14"/>
      <color theme="1"/>
      <name val="Arial"/>
      <family val="2"/>
    </font>
    <font>
      <sz val="10"/>
      <color theme="1"/>
      <name val="Geneva"/>
      <family val="2"/>
      <charset val="1"/>
    </font>
    <font>
      <b/>
      <sz val="11"/>
      <color theme="1"/>
      <name val="Arial"/>
      <family val="2"/>
    </font>
    <font>
      <b/>
      <sz val="16"/>
      <color theme="1"/>
      <name val="Arial"/>
      <family val="2"/>
    </font>
    <font>
      <sz val="9"/>
      <color theme="1"/>
      <name val="Arial"/>
      <family val="2"/>
    </font>
    <font>
      <i/>
      <sz val="10"/>
      <color theme="1"/>
      <name val="Arial"/>
      <family val="2"/>
    </font>
    <font>
      <sz val="11"/>
      <color theme="1"/>
      <name val="Arial"/>
      <family val="2"/>
    </font>
    <font>
      <b/>
      <sz val="24"/>
      <color theme="1"/>
      <name val="Arial"/>
      <family val="2"/>
    </font>
    <font>
      <b/>
      <sz val="12"/>
      <color theme="1"/>
      <name val="Arial"/>
      <family val="2"/>
    </font>
    <font>
      <sz val="11"/>
      <color theme="1"/>
      <name val="Geneva"/>
      <family val="2"/>
      <charset val="1"/>
    </font>
    <font>
      <b/>
      <sz val="9"/>
      <color theme="1"/>
      <name val="Arial"/>
      <family val="2"/>
    </font>
    <font>
      <i/>
      <sz val="11"/>
      <color theme="1"/>
      <name val="Arial"/>
      <family val="2"/>
    </font>
    <font>
      <i/>
      <sz val="11"/>
      <color theme="1"/>
      <name val="Geneva"/>
      <family val="2"/>
      <charset val="1"/>
    </font>
    <font>
      <b/>
      <sz val="10"/>
      <color theme="1"/>
      <name val="Arial"/>
      <family val="2"/>
    </font>
    <font>
      <b/>
      <sz val="18"/>
      <color theme="1"/>
      <name val="Arial"/>
      <family val="2"/>
    </font>
    <font>
      <i/>
      <sz val="10"/>
      <color theme="1"/>
      <name val="Geneva"/>
      <family val="2"/>
      <charset val="1"/>
    </font>
    <font>
      <i/>
      <sz val="9"/>
      <color theme="1"/>
      <name val="Arial"/>
      <family val="2"/>
    </font>
    <font>
      <b/>
      <i/>
      <sz val="11"/>
      <color theme="1"/>
      <name val="Arial"/>
      <family val="2"/>
    </font>
    <font>
      <b/>
      <i/>
      <sz val="10"/>
      <color theme="1"/>
      <name val="Arial"/>
      <family val="2"/>
    </font>
    <font>
      <sz val="10"/>
      <color theme="1"/>
      <name val="Arial"/>
      <family val="2"/>
    </font>
    <font>
      <sz val="9"/>
      <color theme="0"/>
      <name val="Geneva"/>
      <family val="2"/>
      <charset val="1"/>
    </font>
    <font>
      <sz val="6"/>
      <color theme="1"/>
      <name val="Geneva"/>
      <family val="2"/>
      <charset val="1"/>
    </font>
    <font>
      <b/>
      <sz val="12"/>
      <color theme="0"/>
      <name val="Arial"/>
      <family val="2"/>
    </font>
    <font>
      <sz val="14"/>
      <name val="Geneva"/>
      <family val="2"/>
    </font>
    <font>
      <sz val="12"/>
      <name val="Geneva"/>
      <family val="2"/>
    </font>
    <font>
      <i/>
      <sz val="8"/>
      <color theme="0"/>
      <name val="Geneva"/>
      <family val="2"/>
      <charset val="1"/>
    </font>
    <font>
      <i/>
      <sz val="9"/>
      <color theme="0" tint="-0.499984740745262"/>
      <name val="Geneva"/>
      <family val="2"/>
      <charset val="1"/>
    </font>
    <font>
      <sz val="9"/>
      <color theme="0" tint="-0.499984740745262"/>
      <name val="Geneva"/>
      <family val="2"/>
      <charset val="1"/>
    </font>
    <font>
      <i/>
      <sz val="11"/>
      <name val="Geneva"/>
      <family val="2"/>
    </font>
    <font>
      <b/>
      <sz val="18"/>
      <color theme="1"/>
      <name val="Geneva"/>
      <family val="2"/>
    </font>
    <font>
      <i/>
      <sz val="10"/>
      <color theme="0"/>
      <name val="Geneva"/>
      <family val="2"/>
      <charset val="1"/>
    </font>
    <font>
      <i/>
      <vertAlign val="superscript"/>
      <sz val="11"/>
      <name val="Arial"/>
      <family val="2"/>
    </font>
    <font>
      <sz val="10"/>
      <color theme="0" tint="-0.499984740745262"/>
      <name val="Geneva"/>
      <family val="2"/>
      <charset val="1"/>
    </font>
    <font>
      <i/>
      <sz val="9"/>
      <color theme="0"/>
      <name val="Geneva"/>
      <family val="2"/>
    </font>
    <font>
      <i/>
      <sz val="9"/>
      <color indexed="9"/>
      <name val="Geneva"/>
      <family val="2"/>
      <charset val="1"/>
    </font>
    <font>
      <sz val="9"/>
      <name val="Geneva"/>
      <family val="2"/>
    </font>
    <font>
      <sz val="11"/>
      <name val="Geneva"/>
      <family val="2"/>
    </font>
    <font>
      <b/>
      <sz val="11"/>
      <name val="Geneva"/>
      <family val="2"/>
    </font>
    <font>
      <sz val="12"/>
      <color theme="0"/>
      <name val="Geneva"/>
      <family val="2"/>
      <charset val="1"/>
    </font>
    <font>
      <i/>
      <sz val="10"/>
      <name val="Geneva"/>
      <family val="2"/>
    </font>
    <font>
      <b/>
      <i/>
      <sz val="10"/>
      <name val="Geneva"/>
      <family val="2"/>
    </font>
    <font>
      <i/>
      <sz val="9"/>
      <name val="Geneva"/>
      <family val="2"/>
    </font>
    <font>
      <sz val="9"/>
      <name val="Geneva"/>
      <family val="2"/>
    </font>
    <font>
      <b/>
      <sz val="14"/>
      <color theme="0"/>
      <name val="Arial"/>
      <family val="2"/>
    </font>
    <font>
      <b/>
      <sz val="13"/>
      <color theme="0"/>
      <name val="Arial"/>
      <family val="2"/>
    </font>
    <font>
      <i/>
      <sz val="9"/>
      <color theme="1" tint="0.34998626667073579"/>
      <name val="Geneva"/>
      <family val="2"/>
    </font>
    <font>
      <i/>
      <sz val="9"/>
      <color theme="0" tint="-0.249977111117893"/>
      <name val="Geneva"/>
      <family val="2"/>
    </font>
    <font>
      <i/>
      <sz val="9"/>
      <color theme="1" tint="0.499984740745262"/>
      <name val="Geneva"/>
      <family val="2"/>
    </font>
    <font>
      <sz val="8"/>
      <color theme="1" tint="0.499984740745262"/>
      <name val="Geneva"/>
      <family val="2"/>
    </font>
    <font>
      <sz val="9"/>
      <color theme="0" tint="-0.14999847407452621"/>
      <name val="Geneva"/>
      <family val="2"/>
    </font>
    <font>
      <i/>
      <sz val="9"/>
      <color theme="0" tint="-0.499984740745262"/>
      <name val="Geneva"/>
      <family val="2"/>
    </font>
    <font>
      <i/>
      <sz val="8"/>
      <color theme="0" tint="-0.14999847407452621"/>
      <name val="Geneva"/>
      <family val="2"/>
    </font>
    <font>
      <vertAlign val="superscript"/>
      <sz val="12"/>
      <color rgb="FFFFFFFF"/>
      <name val="Geneva"/>
      <family val="2"/>
    </font>
    <font>
      <b/>
      <i/>
      <sz val="9"/>
      <name val="Geneva"/>
      <family val="2"/>
    </font>
    <font>
      <i/>
      <sz val="9"/>
      <color theme="1" tint="0.499984740745262"/>
      <name val="Arial"/>
      <family val="2"/>
    </font>
  </fonts>
  <fills count="24">
    <fill>
      <patternFill patternType="none"/>
    </fill>
    <fill>
      <patternFill patternType="gray125"/>
    </fill>
    <fill>
      <patternFill patternType="solid">
        <fgColor indexed="22"/>
        <bgColor indexed="64"/>
      </patternFill>
    </fill>
    <fill>
      <patternFill patternType="solid">
        <fgColor indexed="43"/>
        <bgColor indexed="64"/>
      </patternFill>
    </fill>
    <fill>
      <patternFill patternType="solid">
        <fgColor indexed="52"/>
        <bgColor indexed="64"/>
      </patternFill>
    </fill>
    <fill>
      <patternFill patternType="solid">
        <fgColor indexed="54"/>
        <bgColor indexed="64"/>
      </patternFill>
    </fill>
    <fill>
      <patternFill patternType="solid">
        <fgColor indexed="41"/>
        <bgColor indexed="64"/>
      </patternFill>
    </fill>
    <fill>
      <patternFill patternType="solid">
        <fgColor indexed="44"/>
        <bgColor indexed="64"/>
      </patternFill>
    </fill>
    <fill>
      <patternFill patternType="solid">
        <fgColor indexed="13"/>
        <bgColor indexed="64"/>
      </patternFill>
    </fill>
    <fill>
      <patternFill patternType="solid">
        <fgColor indexed="40"/>
        <bgColor indexed="64"/>
      </patternFill>
    </fill>
    <fill>
      <patternFill patternType="solid">
        <fgColor indexed="55"/>
        <bgColor indexed="64"/>
      </patternFill>
    </fill>
    <fill>
      <patternFill patternType="solid">
        <fgColor indexed="23"/>
        <bgColor indexed="64"/>
      </patternFill>
    </fill>
    <fill>
      <patternFill patternType="solid">
        <fgColor indexed="9"/>
        <bgColor indexed="64"/>
      </patternFill>
    </fill>
    <fill>
      <patternFill patternType="solid">
        <fgColor indexed="53"/>
        <bgColor indexed="64"/>
      </patternFill>
    </fill>
    <fill>
      <patternFill patternType="solid">
        <fgColor indexed="10"/>
        <bgColor indexed="64"/>
      </patternFill>
    </fill>
    <fill>
      <patternFill patternType="solid">
        <fgColor indexed="8"/>
        <bgColor indexed="64"/>
      </patternFill>
    </fill>
    <fill>
      <patternFill patternType="solid">
        <fgColor rgb="FFFFC000"/>
        <bgColor indexed="64"/>
      </patternFill>
    </fill>
    <fill>
      <patternFill patternType="solid">
        <fgColor theme="4" tint="-0.249977111117893"/>
        <bgColor indexed="64"/>
      </patternFill>
    </fill>
    <fill>
      <patternFill patternType="solid">
        <fgColor theme="7" tint="0.59999389629810485"/>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theme="0" tint="-0.14999847407452621"/>
        <bgColor indexed="64"/>
      </patternFill>
    </fill>
    <fill>
      <patternFill patternType="solid">
        <fgColor theme="0" tint="-0.499984740745262"/>
        <bgColor indexed="64"/>
      </patternFill>
    </fill>
  </fills>
  <borders count="132">
    <border>
      <left/>
      <right/>
      <top/>
      <bottom/>
      <diagonal/>
    </border>
    <border>
      <left style="thin">
        <color indexed="22"/>
      </left>
      <right style="thin">
        <color indexed="22"/>
      </right>
      <top style="thin">
        <color indexed="22"/>
      </top>
      <bottom style="thin">
        <color indexed="22"/>
      </bottom>
      <diagonal/>
    </border>
    <border>
      <left/>
      <right/>
      <top style="hair">
        <color indexed="22"/>
      </top>
      <bottom/>
      <diagonal/>
    </border>
    <border>
      <left/>
      <right/>
      <top style="hair">
        <color indexed="64"/>
      </top>
      <bottom style="hair">
        <color indexed="64"/>
      </bottom>
      <diagonal/>
    </border>
    <border>
      <left/>
      <right/>
      <top style="thin">
        <color indexed="55"/>
      </top>
      <bottom style="thin">
        <color indexed="55"/>
      </bottom>
      <diagonal/>
    </border>
    <border>
      <left/>
      <right/>
      <top style="thin">
        <color indexed="55"/>
      </top>
      <bottom/>
      <diagonal/>
    </border>
    <border>
      <left style="medium">
        <color indexed="64"/>
      </left>
      <right style="thin">
        <color indexed="64"/>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style="thin">
        <color indexed="64"/>
      </right>
      <top style="medium">
        <color indexed="64"/>
      </top>
      <bottom style="hair">
        <color indexed="64"/>
      </bottom>
      <diagonal/>
    </border>
    <border>
      <left style="thin">
        <color indexed="64"/>
      </left>
      <right/>
      <top/>
      <bottom/>
      <diagonal/>
    </border>
    <border>
      <left style="thin">
        <color indexed="64"/>
      </left>
      <right style="thin">
        <color indexed="64"/>
      </right>
      <top style="hair">
        <color indexed="64"/>
      </top>
      <bottom style="double">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diagonal/>
    </border>
    <border>
      <left style="thin">
        <color indexed="64"/>
      </left>
      <right/>
      <top/>
      <bottom style="thin">
        <color indexed="64"/>
      </bottom>
      <diagonal/>
    </border>
    <border>
      <left style="thin">
        <color indexed="64"/>
      </left>
      <right style="double">
        <color indexed="64"/>
      </right>
      <top/>
      <bottom/>
      <diagonal/>
    </border>
    <border>
      <left style="thin">
        <color indexed="64"/>
      </left>
      <right/>
      <top style="double">
        <color indexed="64"/>
      </top>
      <bottom style="medium">
        <color indexed="64"/>
      </bottom>
      <diagonal/>
    </border>
    <border>
      <left style="thin">
        <color indexed="64"/>
      </left>
      <right style="thin">
        <color indexed="64"/>
      </right>
      <top style="double">
        <color indexed="64"/>
      </top>
      <bottom style="medium">
        <color indexed="64"/>
      </bottom>
      <diagonal/>
    </border>
    <border>
      <left style="double">
        <color indexed="64"/>
      </left>
      <right style="thin">
        <color indexed="64"/>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right style="double">
        <color indexed="64"/>
      </right>
      <top style="medium">
        <color indexed="64"/>
      </top>
      <bottom/>
      <diagonal/>
    </border>
    <border>
      <left style="thin">
        <color indexed="64"/>
      </left>
      <right style="thin">
        <color indexed="64"/>
      </right>
      <top/>
      <bottom/>
      <diagonal/>
    </border>
    <border>
      <left/>
      <right style="double">
        <color indexed="64"/>
      </right>
      <top/>
      <bottom/>
      <diagonal/>
    </border>
    <border>
      <left/>
      <right style="thin">
        <color indexed="64"/>
      </right>
      <top/>
      <bottom style="thin">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right style="double">
        <color indexed="64"/>
      </right>
      <top/>
      <bottom style="double">
        <color indexed="64"/>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bottom style="hair">
        <color indexed="64"/>
      </bottom>
      <diagonal/>
    </border>
    <border>
      <left/>
      <right/>
      <top style="medium">
        <color indexed="64"/>
      </top>
      <bottom/>
      <diagonal/>
    </border>
    <border>
      <left/>
      <right/>
      <top/>
      <bottom style="double">
        <color indexed="64"/>
      </bottom>
      <diagonal/>
    </border>
    <border>
      <left style="thin">
        <color indexed="64"/>
      </left>
      <right style="thin">
        <color indexed="64"/>
      </right>
      <top style="hair">
        <color indexed="64"/>
      </top>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top style="medium">
        <color indexed="64"/>
      </top>
      <bottom style="double">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ck">
        <color indexed="54"/>
      </right>
      <top style="thick">
        <color indexed="54"/>
      </top>
      <bottom style="thick">
        <color indexed="5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style="medium">
        <color indexed="64"/>
      </left>
      <right/>
      <top/>
      <bottom/>
      <diagonal/>
    </border>
    <border>
      <left/>
      <right/>
      <top style="thick">
        <color indexed="54"/>
      </top>
      <bottom style="thin">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style="thin">
        <color indexed="64"/>
      </right>
      <top/>
      <bottom/>
      <diagonal/>
    </border>
    <border>
      <left style="double">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hair">
        <color indexed="22"/>
      </left>
      <right/>
      <top/>
      <bottom style="hair">
        <color indexed="22"/>
      </bottom>
      <diagonal/>
    </border>
    <border>
      <left/>
      <right/>
      <top/>
      <bottom style="hair">
        <color indexed="22"/>
      </bottom>
      <diagonal/>
    </border>
    <border>
      <left/>
      <right style="hair">
        <color indexed="22"/>
      </right>
      <top/>
      <bottom/>
      <diagonal/>
    </border>
    <border>
      <left style="thin">
        <color indexed="22"/>
      </left>
      <right/>
      <top/>
      <bottom/>
      <diagonal/>
    </border>
    <border>
      <left style="double">
        <color indexed="64"/>
      </left>
      <right style="thin">
        <color indexed="64"/>
      </right>
      <top style="double">
        <color indexed="64"/>
      </top>
      <bottom/>
      <diagonal/>
    </border>
    <border>
      <left style="double">
        <color indexed="64"/>
      </left>
      <right style="thin">
        <color indexed="64"/>
      </right>
      <top/>
      <bottom style="double">
        <color indexed="64"/>
      </bottom>
      <diagonal/>
    </border>
    <border>
      <left/>
      <right style="double">
        <color indexed="64"/>
      </right>
      <top style="double">
        <color indexed="64"/>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9"/>
      </bottom>
      <diagonal/>
    </border>
    <border>
      <left style="thin">
        <color indexed="64"/>
      </left>
      <right style="thin">
        <color indexed="64"/>
      </right>
      <top style="thin">
        <color indexed="64"/>
      </top>
      <bottom style="thin">
        <color indexed="9"/>
      </bottom>
      <diagonal/>
    </border>
    <border>
      <left/>
      <right style="thin">
        <color indexed="64"/>
      </right>
      <top style="hair">
        <color indexed="64"/>
      </top>
      <bottom style="hair">
        <color indexed="64"/>
      </bottom>
      <diagonal/>
    </border>
    <border>
      <left/>
      <right style="medium">
        <color indexed="64"/>
      </right>
      <top/>
      <bottom/>
      <diagonal/>
    </border>
    <border>
      <left style="thin">
        <color indexed="64"/>
      </left>
      <right style="thin">
        <color indexed="64"/>
      </right>
      <top style="thin">
        <color indexed="9"/>
      </top>
      <bottom style="thin">
        <color indexed="9"/>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double">
        <color indexed="64"/>
      </bottom>
      <diagonal/>
    </border>
    <border>
      <left style="medium">
        <color indexed="64"/>
      </left>
      <right/>
      <top style="medium">
        <color indexed="64"/>
      </top>
      <bottom/>
      <diagonal/>
    </border>
    <border>
      <left/>
      <right style="medium">
        <color indexed="64"/>
      </right>
      <top style="medium">
        <color indexed="64"/>
      </top>
      <bottom/>
      <diagonal/>
    </border>
    <border>
      <left style="double">
        <color indexed="64"/>
      </left>
      <right style="medium">
        <color indexed="64"/>
      </right>
      <top/>
      <bottom/>
      <diagonal/>
    </border>
    <border>
      <left style="medium">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double">
        <color indexed="64"/>
      </top>
      <bottom/>
      <diagonal/>
    </border>
    <border>
      <left style="thin">
        <color indexed="64"/>
      </left>
      <right style="medium">
        <color indexed="64"/>
      </right>
      <top/>
      <bottom style="double">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thin">
        <color auto="1"/>
      </bottom>
      <diagonal/>
    </border>
    <border>
      <left/>
      <right/>
      <top style="hair">
        <color auto="1"/>
      </top>
      <bottom style="thin">
        <color auto="1"/>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right/>
      <top style="hair">
        <color auto="1"/>
      </top>
      <bottom/>
      <diagonal/>
    </border>
    <border>
      <left/>
      <right style="thin">
        <color auto="1"/>
      </right>
      <top style="hair">
        <color auto="1"/>
      </top>
      <bottom/>
      <diagonal/>
    </border>
    <border>
      <left/>
      <right style="thin">
        <color auto="1"/>
      </right>
      <top/>
      <bottom/>
      <diagonal/>
    </border>
    <border>
      <left/>
      <right/>
      <top style="thin">
        <color auto="1"/>
      </top>
      <bottom/>
      <diagonal/>
    </border>
  </borders>
  <cellStyleXfs count="4">
    <xf numFmtId="0" fontId="0" fillId="0" borderId="0" applyProtection="0"/>
    <xf numFmtId="0" fontId="22" fillId="0" borderId="0"/>
    <xf numFmtId="9" fontId="2" fillId="0" borderId="0" applyFont="0" applyFill="0" applyBorder="0" applyAlignment="0" applyProtection="0"/>
    <xf numFmtId="44" fontId="162" fillId="0" borderId="0" applyFont="0" applyFill="0" applyBorder="0" applyAlignment="0" applyProtection="0"/>
  </cellStyleXfs>
  <cellXfs count="769">
    <xf numFmtId="0" fontId="0" fillId="0" borderId="0" xfId="0"/>
    <xf numFmtId="0" fontId="4" fillId="0" borderId="0" xfId="0" applyFont="1"/>
    <xf numFmtId="0" fontId="8" fillId="0" borderId="0" xfId="0" applyFont="1"/>
    <xf numFmtId="0" fontId="4" fillId="0" borderId="0" xfId="0" applyFont="1" applyBorder="1"/>
    <xf numFmtId="4" fontId="4" fillId="0" borderId="0" xfId="0" applyNumberFormat="1" applyFont="1"/>
    <xf numFmtId="0" fontId="9" fillId="0" borderId="0" xfId="0" applyFont="1"/>
    <xf numFmtId="0" fontId="11" fillId="0" borderId="0" xfId="0" applyFont="1"/>
    <xf numFmtId="0" fontId="12" fillId="0" borderId="0" xfId="0" applyFont="1"/>
    <xf numFmtId="0" fontId="13" fillId="0" borderId="0" xfId="0" applyFont="1" applyBorder="1" applyAlignment="1">
      <alignment horizontal="left"/>
    </xf>
    <xf numFmtId="0" fontId="4" fillId="0" borderId="0" xfId="0" applyFont="1" applyBorder="1" applyAlignment="1">
      <alignment horizontal="right"/>
    </xf>
    <xf numFmtId="0" fontId="9" fillId="0" borderId="0" xfId="0" applyFont="1" applyAlignment="1">
      <alignment horizontal="right"/>
    </xf>
    <xf numFmtId="0" fontId="9" fillId="0" borderId="0" xfId="0" quotePrefix="1" applyFont="1" applyAlignment="1">
      <alignment horizontal="right"/>
    </xf>
    <xf numFmtId="0" fontId="4" fillId="0" borderId="0" xfId="0" applyFont="1" applyAlignment="1">
      <alignment vertical="center"/>
    </xf>
    <xf numFmtId="0" fontId="12" fillId="0" borderId="0" xfId="0" applyFont="1" applyAlignment="1">
      <alignment vertical="center"/>
    </xf>
    <xf numFmtId="168" fontId="4" fillId="0" borderId="0" xfId="0" applyNumberFormat="1" applyFont="1" applyAlignment="1">
      <alignment vertical="center"/>
    </xf>
    <xf numFmtId="0" fontId="4" fillId="0" borderId="0" xfId="0" applyFont="1" applyBorder="1" applyAlignment="1">
      <alignment vertical="top"/>
    </xf>
    <xf numFmtId="0" fontId="4" fillId="0" borderId="0" xfId="0" applyFont="1" applyFill="1" applyAlignment="1">
      <alignment vertical="center"/>
    </xf>
    <xf numFmtId="0" fontId="16" fillId="0" borderId="0" xfId="0" applyFont="1"/>
    <xf numFmtId="0" fontId="17" fillId="0" borderId="0" xfId="0" applyFont="1"/>
    <xf numFmtId="0" fontId="18" fillId="0" borderId="0" xfId="0" applyFont="1"/>
    <xf numFmtId="4" fontId="14" fillId="0" borderId="0" xfId="0" applyNumberFormat="1" applyFont="1" applyFill="1" applyAlignment="1">
      <alignment horizontal="right"/>
    </xf>
    <xf numFmtId="0" fontId="19" fillId="0" borderId="0" xfId="0" applyFont="1" applyBorder="1" applyAlignment="1">
      <alignment horizontal="right" vertical="center"/>
    </xf>
    <xf numFmtId="165" fontId="4" fillId="0" borderId="0" xfId="0" applyNumberFormat="1" applyFont="1" applyFill="1" applyBorder="1" applyAlignment="1">
      <alignment vertical="center"/>
    </xf>
    <xf numFmtId="0" fontId="19" fillId="0" borderId="0" xfId="0" applyFont="1" applyAlignment="1">
      <alignment horizontal="right" vertical="center"/>
    </xf>
    <xf numFmtId="0" fontId="20" fillId="0" borderId="0" xfId="0" applyFont="1" applyFill="1"/>
    <xf numFmtId="0" fontId="21" fillId="0" borderId="0" xfId="0" applyFont="1"/>
    <xf numFmtId="166" fontId="4" fillId="0" borderId="0" xfId="0" applyNumberFormat="1" applyFont="1" applyBorder="1" applyAlignment="1">
      <alignment horizontal="left"/>
    </xf>
    <xf numFmtId="0" fontId="9" fillId="0" borderId="0" xfId="0" quotePrefix="1" applyFont="1" applyAlignment="1">
      <alignment horizontal="right" vertical="center"/>
    </xf>
    <xf numFmtId="0" fontId="8" fillId="0" borderId="0" xfId="0" applyFont="1" applyBorder="1" applyAlignment="1">
      <alignment horizontal="left" vertical="center"/>
    </xf>
    <xf numFmtId="0" fontId="10" fillId="0" borderId="0" xfId="0" applyFont="1" applyAlignment="1">
      <alignment vertical="center"/>
    </xf>
    <xf numFmtId="165" fontId="4" fillId="0" borderId="0" xfId="0" applyNumberFormat="1" applyFont="1" applyFill="1"/>
    <xf numFmtId="4" fontId="4" fillId="0" borderId="0" xfId="0" applyNumberFormat="1" applyFont="1" applyFill="1"/>
    <xf numFmtId="0" fontId="7" fillId="0" borderId="0" xfId="0" applyFont="1" applyAlignment="1">
      <alignment horizontal="left"/>
    </xf>
    <xf numFmtId="0" fontId="24" fillId="0" borderId="1" xfId="0" applyFont="1" applyBorder="1" applyAlignment="1"/>
    <xf numFmtId="0" fontId="24" fillId="0" borderId="2" xfId="0" applyFont="1" applyBorder="1" applyAlignment="1"/>
    <xf numFmtId="0" fontId="24" fillId="0" borderId="0" xfId="0" applyFont="1" applyBorder="1" applyAlignment="1"/>
    <xf numFmtId="0" fontId="4" fillId="0" borderId="0" xfId="0" applyFont="1" applyBorder="1" applyAlignment="1"/>
    <xf numFmtId="0" fontId="27" fillId="0" borderId="0" xfId="0" applyFont="1" applyAlignment="1">
      <alignment horizontal="right" vertical="center"/>
    </xf>
    <xf numFmtId="0" fontId="6" fillId="0" borderId="0" xfId="0" applyFont="1" applyFill="1" applyBorder="1" applyAlignment="1">
      <alignment horizontal="center" vertical="center"/>
    </xf>
    <xf numFmtId="0" fontId="4" fillId="0" borderId="0" xfId="0" applyFont="1" applyAlignment="1">
      <alignment horizontal="center"/>
    </xf>
    <xf numFmtId="165" fontId="27" fillId="0" borderId="0" xfId="0" applyNumberFormat="1" applyFont="1" applyFill="1" applyBorder="1"/>
    <xf numFmtId="10" fontId="13" fillId="0" borderId="0" xfId="2" applyNumberFormat="1" applyFont="1" applyFill="1" applyBorder="1"/>
    <xf numFmtId="167" fontId="13" fillId="0" borderId="0" xfId="0" applyNumberFormat="1" applyFont="1" applyFill="1" applyBorder="1"/>
    <xf numFmtId="0" fontId="25" fillId="0" borderId="0" xfId="0" applyFont="1" applyFill="1" applyAlignment="1">
      <alignment horizontal="right"/>
    </xf>
    <xf numFmtId="0" fontId="4" fillId="0" borderId="0" xfId="0" applyFont="1" applyAlignment="1">
      <alignment horizontal="center" vertical="top"/>
    </xf>
    <xf numFmtId="0" fontId="26" fillId="0" borderId="0" xfId="0" applyFont="1" applyAlignment="1">
      <alignment vertical="center"/>
    </xf>
    <xf numFmtId="0" fontId="4" fillId="0" borderId="3" xfId="0" applyFont="1" applyBorder="1" applyAlignment="1">
      <alignment vertical="center"/>
    </xf>
    <xf numFmtId="0" fontId="4" fillId="0" borderId="0" xfId="0" applyFont="1" applyBorder="1" applyAlignment="1">
      <alignment vertical="center" wrapText="1"/>
    </xf>
    <xf numFmtId="0" fontId="4" fillId="0" borderId="0" xfId="0" applyFont="1" applyBorder="1" applyAlignment="1">
      <alignment vertical="center"/>
    </xf>
    <xf numFmtId="0" fontId="30" fillId="0" borderId="0" xfId="0" applyFont="1" applyAlignment="1">
      <alignment vertical="center"/>
    </xf>
    <xf numFmtId="0" fontId="15" fillId="0" borderId="0" xfId="0" applyFont="1" applyBorder="1" applyAlignment="1">
      <alignment horizontal="right" vertical="center"/>
    </xf>
    <xf numFmtId="165" fontId="30" fillId="0" borderId="0" xfId="0" applyNumberFormat="1" applyFont="1" applyBorder="1" applyAlignment="1">
      <alignment vertical="center"/>
    </xf>
    <xf numFmtId="0" fontId="15" fillId="0" borderId="0" xfId="0" applyFont="1" applyFill="1" applyBorder="1" applyAlignment="1">
      <alignment horizontal="right" vertical="center"/>
    </xf>
    <xf numFmtId="165" fontId="15" fillId="0" borderId="0" xfId="0" applyNumberFormat="1" applyFont="1" applyFill="1" applyBorder="1" applyAlignment="1">
      <alignment vertical="center"/>
    </xf>
    <xf numFmtId="0" fontId="30" fillId="0" borderId="0" xfId="0" applyFont="1" applyFill="1" applyBorder="1" applyAlignment="1">
      <alignment horizontal="right" vertical="center"/>
    </xf>
    <xf numFmtId="10" fontId="30" fillId="0" borderId="0" xfId="0" applyNumberFormat="1" applyFont="1" applyFill="1" applyBorder="1" applyAlignment="1">
      <alignment horizontal="right" vertical="center"/>
    </xf>
    <xf numFmtId="165" fontId="30" fillId="0" borderId="0" xfId="0" applyNumberFormat="1" applyFont="1" applyFill="1" applyBorder="1" applyAlignment="1">
      <alignment horizontal="right" vertical="center"/>
    </xf>
    <xf numFmtId="0" fontId="30" fillId="0" borderId="0" xfId="0" applyFont="1" applyFill="1" applyBorder="1" applyAlignment="1">
      <alignment vertical="center"/>
    </xf>
    <xf numFmtId="165" fontId="15" fillId="0" borderId="0" xfId="0" applyNumberFormat="1" applyFont="1" applyFill="1" applyBorder="1" applyAlignment="1">
      <alignment horizontal="right" vertical="center"/>
    </xf>
    <xf numFmtId="0" fontId="5" fillId="0" borderId="0" xfId="0" applyFont="1" applyAlignment="1">
      <alignment horizontal="right" vertical="center"/>
    </xf>
    <xf numFmtId="0" fontId="0" fillId="0" borderId="0" xfId="0" applyAlignment="1">
      <alignment vertical="center"/>
    </xf>
    <xf numFmtId="0" fontId="0" fillId="0" borderId="0" xfId="0" applyBorder="1" applyAlignment="1" applyProtection="1">
      <alignment horizontal="center" vertical="center"/>
      <protection hidden="1"/>
    </xf>
    <xf numFmtId="0" fontId="13" fillId="0" borderId="0" xfId="0" applyFont="1" applyBorder="1" applyAlignment="1">
      <alignment horizontal="center" vertical="center" wrapText="1"/>
    </xf>
    <xf numFmtId="0" fontId="0" fillId="0" borderId="0" xfId="0" applyAlignment="1">
      <alignment horizontal="center"/>
    </xf>
    <xf numFmtId="0" fontId="5" fillId="0" borderId="0" xfId="0" applyFont="1" applyBorder="1" applyAlignment="1" applyProtection="1">
      <alignment horizontal="center" vertical="center"/>
      <protection hidden="1"/>
    </xf>
    <xf numFmtId="0" fontId="27" fillId="0" borderId="0" xfId="0" applyFont="1" applyBorder="1" applyAlignment="1">
      <alignment vertical="center"/>
    </xf>
    <xf numFmtId="0" fontId="8" fillId="0" borderId="0" xfId="0" applyFont="1" applyAlignment="1">
      <alignment horizontal="center" wrapText="1"/>
    </xf>
    <xf numFmtId="0" fontId="27" fillId="0" borderId="0" xfId="0" applyFont="1" applyBorder="1" applyAlignment="1">
      <alignment horizontal="center" vertical="center"/>
    </xf>
    <xf numFmtId="0" fontId="0" fillId="0" borderId="0" xfId="0" applyAlignment="1">
      <alignment horizontal="center" vertical="center"/>
    </xf>
    <xf numFmtId="0" fontId="36" fillId="0" borderId="0" xfId="0" applyFont="1" applyAlignment="1">
      <alignment vertical="center"/>
    </xf>
    <xf numFmtId="0" fontId="37" fillId="0" borderId="0" xfId="0" applyFont="1" applyAlignment="1">
      <alignment horizontal="center" vertical="center"/>
    </xf>
    <xf numFmtId="0" fontId="38" fillId="0" borderId="0" xfId="0" applyFont="1" applyAlignment="1">
      <alignment horizontal="center" vertical="center"/>
    </xf>
    <xf numFmtId="0" fontId="42" fillId="0" borderId="0" xfId="0" applyFont="1" applyAlignment="1">
      <alignment wrapText="1"/>
    </xf>
    <xf numFmtId="0" fontId="42" fillId="0" borderId="0" xfId="0" applyFont="1" applyAlignment="1">
      <alignment vertical="top" wrapText="1"/>
    </xf>
    <xf numFmtId="0" fontId="43" fillId="0" borderId="0" xfId="0" applyFont="1" applyAlignment="1">
      <alignment vertical="top"/>
    </xf>
    <xf numFmtId="0" fontId="42" fillId="0" borderId="0" xfId="0" applyFont="1" applyAlignment="1">
      <alignment horizontal="center" wrapText="1"/>
    </xf>
    <xf numFmtId="0" fontId="41" fillId="0" borderId="0" xfId="0" applyFont="1" applyAlignment="1">
      <alignment horizontal="center" vertical="center"/>
    </xf>
    <xf numFmtId="0" fontId="0" fillId="0" borderId="4" xfId="0" applyBorder="1"/>
    <xf numFmtId="0" fontId="0" fillId="0" borderId="5" xfId="0" applyBorder="1"/>
    <xf numFmtId="0" fontId="0" fillId="0" borderId="0" xfId="0" applyBorder="1"/>
    <xf numFmtId="0" fontId="15" fillId="0" borderId="0" xfId="0" applyFont="1" applyBorder="1" applyAlignment="1">
      <alignment horizontal="center" vertical="center"/>
    </xf>
    <xf numFmtId="0" fontId="15" fillId="0" borderId="0" xfId="0" applyFont="1" applyBorder="1" applyAlignment="1">
      <alignment horizontal="left" vertical="center"/>
    </xf>
    <xf numFmtId="0" fontId="20" fillId="0" borderId="0" xfId="0" applyFont="1" applyBorder="1" applyAlignment="1">
      <alignment horizontal="right" vertical="center"/>
    </xf>
    <xf numFmtId="0" fontId="20" fillId="0" borderId="0" xfId="0" applyFont="1" applyAlignment="1">
      <alignment horizontal="left" vertical="center"/>
    </xf>
    <xf numFmtId="0" fontId="20" fillId="0" borderId="0" xfId="0" applyFont="1" applyBorder="1" applyAlignment="1">
      <alignment horizontal="center" vertical="center"/>
    </xf>
    <xf numFmtId="0" fontId="42" fillId="0" borderId="0" xfId="0" applyFont="1" applyAlignment="1">
      <alignment vertical="center" wrapText="1"/>
    </xf>
    <xf numFmtId="0" fontId="4" fillId="0" borderId="0" xfId="0" applyFont="1" applyFill="1" applyBorder="1"/>
    <xf numFmtId="0" fontId="27" fillId="0" borderId="0" xfId="0" applyFont="1" applyFill="1" applyBorder="1" applyAlignment="1">
      <alignment horizontal="center" vertical="center" wrapText="1"/>
    </xf>
    <xf numFmtId="170" fontId="30" fillId="0" borderId="0" xfId="0" applyNumberFormat="1" applyFont="1" applyFill="1" applyBorder="1" applyAlignment="1">
      <alignment horizontal="center" vertical="center"/>
    </xf>
    <xf numFmtId="171" fontId="49" fillId="2" borderId="6" xfId="0" applyNumberFormat="1" applyFont="1" applyFill="1" applyBorder="1" applyAlignment="1">
      <alignment horizontal="center" vertical="center" wrapText="1"/>
    </xf>
    <xf numFmtId="10" fontId="51" fillId="3" borderId="7" xfId="0" applyNumberFormat="1" applyFont="1" applyFill="1" applyBorder="1" applyAlignment="1">
      <alignment horizontal="center" vertical="center"/>
    </xf>
    <xf numFmtId="0" fontId="13" fillId="0" borderId="7" xfId="0" applyFont="1" applyBorder="1" applyAlignment="1">
      <alignment horizontal="center" vertical="center" wrapText="1"/>
    </xf>
    <xf numFmtId="10" fontId="27" fillId="3" borderId="7" xfId="0" applyNumberFormat="1" applyFont="1" applyFill="1" applyBorder="1" applyAlignment="1">
      <alignment horizontal="center" vertical="center"/>
    </xf>
    <xf numFmtId="0" fontId="30" fillId="2" borderId="7" xfId="0" applyFont="1" applyFill="1" applyBorder="1" applyAlignment="1">
      <alignment horizontal="right" vertical="center" wrapText="1"/>
    </xf>
    <xf numFmtId="10" fontId="27" fillId="4" borderId="7" xfId="0" applyNumberFormat="1" applyFont="1" applyFill="1" applyBorder="1" applyAlignment="1">
      <alignment horizontal="center" vertical="center"/>
    </xf>
    <xf numFmtId="0" fontId="30" fillId="0" borderId="0" xfId="1" applyFont="1"/>
    <xf numFmtId="0" fontId="30" fillId="0" borderId="0" xfId="1" applyFont="1" applyAlignment="1">
      <alignment vertical="center"/>
    </xf>
    <xf numFmtId="0" fontId="47" fillId="0" borderId="8" xfId="1" applyFont="1" applyBorder="1" applyAlignment="1">
      <alignment vertical="center"/>
    </xf>
    <xf numFmtId="0" fontId="33" fillId="0" borderId="8" xfId="1" applyFont="1" applyBorder="1" applyAlignment="1">
      <alignment vertical="center"/>
    </xf>
    <xf numFmtId="0" fontId="29" fillId="5" borderId="9" xfId="1" applyFont="1" applyFill="1" applyBorder="1" applyAlignment="1">
      <alignment vertical="center"/>
    </xf>
    <xf numFmtId="0" fontId="45" fillId="5" borderId="10" xfId="1" quotePrefix="1" applyFont="1" applyFill="1" applyBorder="1" applyAlignment="1">
      <alignment horizontal="right" vertical="center"/>
    </xf>
    <xf numFmtId="0" fontId="30" fillId="0" borderId="11" xfId="1" applyFont="1" applyBorder="1" applyAlignment="1">
      <alignment vertical="center"/>
    </xf>
    <xf numFmtId="0" fontId="30" fillId="0" borderId="12" xfId="1" applyFont="1" applyBorder="1" applyAlignment="1">
      <alignment vertical="center"/>
    </xf>
    <xf numFmtId="0" fontId="62" fillId="5" borderId="7" xfId="1" applyFont="1" applyFill="1" applyBorder="1" applyAlignment="1">
      <alignment horizontal="center" vertical="center"/>
    </xf>
    <xf numFmtId="0" fontId="30" fillId="3" borderId="13" xfId="1" applyFont="1" applyFill="1" applyBorder="1" applyAlignment="1">
      <alignment horizontal="center" vertical="center"/>
    </xf>
    <xf numFmtId="0" fontId="30" fillId="6" borderId="13" xfId="1" applyFont="1" applyFill="1" applyBorder="1" applyAlignment="1">
      <alignment horizontal="center" vertical="center"/>
    </xf>
    <xf numFmtId="0" fontId="30" fillId="3" borderId="14" xfId="1" applyFont="1" applyFill="1" applyBorder="1" applyAlignment="1">
      <alignment horizontal="center" vertical="center"/>
    </xf>
    <xf numFmtId="0" fontId="30" fillId="6" borderId="14" xfId="1" applyFont="1" applyFill="1" applyBorder="1" applyAlignment="1">
      <alignment horizontal="center" vertical="center"/>
    </xf>
    <xf numFmtId="0" fontId="30" fillId="3" borderId="15" xfId="1" applyFont="1" applyFill="1" applyBorder="1" applyAlignment="1">
      <alignment horizontal="center" vertical="center"/>
    </xf>
    <xf numFmtId="0" fontId="30" fillId="6" borderId="15" xfId="1" applyFont="1" applyFill="1" applyBorder="1" applyAlignment="1">
      <alignment horizontal="center" vertical="center"/>
    </xf>
    <xf numFmtId="0" fontId="30" fillId="2" borderId="9" xfId="1" applyFont="1" applyFill="1" applyBorder="1" applyAlignment="1">
      <alignment vertical="center"/>
    </xf>
    <xf numFmtId="0" fontId="30" fillId="2" borderId="10" xfId="1" applyFont="1" applyFill="1" applyBorder="1" applyAlignment="1">
      <alignment vertical="center"/>
    </xf>
    <xf numFmtId="0" fontId="27" fillId="7" borderId="7" xfId="1" applyFont="1" applyFill="1" applyBorder="1" applyAlignment="1">
      <alignment horizontal="center" vertical="center"/>
    </xf>
    <xf numFmtId="0" fontId="30" fillId="0" borderId="7" xfId="1" applyFont="1" applyBorder="1" applyAlignment="1">
      <alignment horizontal="center" vertical="center"/>
    </xf>
    <xf numFmtId="0" fontId="30" fillId="2" borderId="9" xfId="1" applyFont="1" applyFill="1" applyBorder="1" applyAlignment="1">
      <alignment horizontal="right" vertical="center"/>
    </xf>
    <xf numFmtId="168" fontId="30" fillId="7" borderId="7" xfId="1" applyNumberFormat="1" applyFont="1" applyFill="1" applyBorder="1" applyAlignment="1">
      <alignment horizontal="center" vertical="center"/>
    </xf>
    <xf numFmtId="0" fontId="30" fillId="2" borderId="10" xfId="1" applyFont="1" applyFill="1" applyBorder="1" applyAlignment="1">
      <alignment horizontal="left" vertical="center"/>
    </xf>
    <xf numFmtId="0" fontId="65" fillId="0" borderId="0" xfId="1" applyFont="1" applyAlignment="1">
      <alignment vertical="center"/>
    </xf>
    <xf numFmtId="0" fontId="66" fillId="0" borderId="0" xfId="1" applyFont="1" applyAlignment="1">
      <alignment horizontal="right" vertical="center"/>
    </xf>
    <xf numFmtId="0" fontId="27" fillId="3" borderId="7" xfId="1" applyFont="1" applyFill="1" applyBorder="1" applyAlignment="1">
      <alignment horizontal="center" vertical="center"/>
    </xf>
    <xf numFmtId="0" fontId="45" fillId="0" borderId="0" xfId="1" applyFont="1" applyFill="1" applyAlignment="1">
      <alignment vertical="center"/>
    </xf>
    <xf numFmtId="0" fontId="31" fillId="0" borderId="0" xfId="1" applyFont="1" applyAlignment="1">
      <alignment vertical="center"/>
    </xf>
    <xf numFmtId="0" fontId="59" fillId="0" borderId="0" xfId="1" applyFont="1" applyFill="1" applyAlignment="1">
      <alignment vertical="center"/>
    </xf>
    <xf numFmtId="0" fontId="30" fillId="0" borderId="0" xfId="1" applyFont="1" applyFill="1"/>
    <xf numFmtId="0" fontId="29" fillId="5" borderId="16" xfId="1" applyFont="1" applyFill="1" applyBorder="1" applyAlignment="1">
      <alignment horizontal="center" vertical="center" wrapText="1"/>
    </xf>
    <xf numFmtId="0" fontId="29" fillId="5" borderId="17" xfId="1" applyFont="1" applyFill="1" applyBorder="1" applyAlignment="1">
      <alignment horizontal="center" vertical="center" wrapText="1"/>
    </xf>
    <xf numFmtId="0" fontId="30" fillId="2" borderId="18" xfId="1" applyFont="1" applyFill="1" applyBorder="1" applyAlignment="1">
      <alignment vertical="center"/>
    </xf>
    <xf numFmtId="168" fontId="69" fillId="3" borderId="19" xfId="1" applyNumberFormat="1" applyFont="1" applyFill="1" applyBorder="1" applyAlignment="1">
      <alignment vertical="center"/>
    </xf>
    <xf numFmtId="0" fontId="30" fillId="2" borderId="20" xfId="1" applyFont="1" applyFill="1" applyBorder="1" applyAlignment="1">
      <alignment vertical="center"/>
    </xf>
    <xf numFmtId="0" fontId="30" fillId="2" borderId="0" xfId="1" applyFont="1" applyFill="1" applyAlignment="1">
      <alignment horizontal="center" vertical="center"/>
    </xf>
    <xf numFmtId="0" fontId="30" fillId="2" borderId="0" xfId="1" applyFont="1" applyFill="1" applyAlignment="1">
      <alignment vertical="center"/>
    </xf>
    <xf numFmtId="168" fontId="69" fillId="3" borderId="14" xfId="1" applyNumberFormat="1" applyFont="1" applyFill="1" applyBorder="1" applyAlignment="1">
      <alignment vertical="center"/>
    </xf>
    <xf numFmtId="168" fontId="69" fillId="3" borderId="21" xfId="1" applyNumberFormat="1" applyFont="1" applyFill="1" applyBorder="1" applyAlignment="1">
      <alignment vertical="center"/>
    </xf>
    <xf numFmtId="0" fontId="30" fillId="2" borderId="20" xfId="1" applyFont="1" applyFill="1" applyBorder="1"/>
    <xf numFmtId="0" fontId="30" fillId="2" borderId="0" xfId="1" applyFont="1" applyFill="1"/>
    <xf numFmtId="0" fontId="15" fillId="0" borderId="10" xfId="1" applyFont="1" applyBorder="1" applyAlignment="1">
      <alignment horizontal="center" vertical="center" wrapText="1"/>
    </xf>
    <xf numFmtId="168" fontId="15" fillId="0" borderId="22" xfId="1" applyNumberFormat="1" applyFont="1" applyBorder="1" applyAlignment="1">
      <alignment vertical="center"/>
    </xf>
    <xf numFmtId="168" fontId="15" fillId="0" borderId="23" xfId="1" applyNumberFormat="1" applyFont="1" applyBorder="1" applyAlignment="1">
      <alignment vertical="center"/>
    </xf>
    <xf numFmtId="0" fontId="30" fillId="2" borderId="11" xfId="1" applyFont="1" applyFill="1" applyBorder="1"/>
    <xf numFmtId="0" fontId="30" fillId="2" borderId="12" xfId="1" applyFont="1" applyFill="1" applyBorder="1"/>
    <xf numFmtId="0" fontId="29" fillId="5" borderId="24" xfId="1" applyFont="1" applyFill="1" applyBorder="1" applyAlignment="1">
      <alignment horizontal="center" vertical="center"/>
    </xf>
    <xf numFmtId="0" fontId="29" fillId="5" borderId="25" xfId="1" applyFont="1" applyFill="1" applyBorder="1" applyAlignment="1">
      <alignment horizontal="center" vertical="center"/>
    </xf>
    <xf numFmtId="0" fontId="29" fillId="5" borderId="26" xfId="1" applyFont="1" applyFill="1" applyBorder="1" applyAlignment="1">
      <alignment horizontal="center" vertical="center"/>
    </xf>
    <xf numFmtId="0" fontId="30" fillId="2" borderId="0" xfId="1" applyFont="1" applyFill="1" applyBorder="1"/>
    <xf numFmtId="0" fontId="30" fillId="2" borderId="27" xfId="1" applyFont="1" applyFill="1" applyBorder="1"/>
    <xf numFmtId="0" fontId="30" fillId="0" borderId="0" xfId="1" applyFont="1" applyAlignment="1">
      <alignment vertical="center" wrapText="1"/>
    </xf>
    <xf numFmtId="0" fontId="30" fillId="2" borderId="20" xfId="1" applyFont="1" applyFill="1" applyBorder="1" applyAlignment="1">
      <alignment vertical="center" wrapText="1"/>
    </xf>
    <xf numFmtId="0" fontId="30" fillId="2" borderId="0" xfId="1" applyFont="1" applyFill="1" applyAlignment="1">
      <alignment vertical="center" wrapText="1"/>
    </xf>
    <xf numFmtId="0" fontId="33" fillId="2" borderId="0" xfId="0" applyFont="1" applyFill="1" applyBorder="1" applyAlignment="1">
      <alignment horizontal="center"/>
    </xf>
    <xf numFmtId="168" fontId="76" fillId="2" borderId="0" xfId="0" applyNumberFormat="1" applyFont="1" applyFill="1" applyBorder="1" applyAlignment="1">
      <alignment horizontal="center"/>
    </xf>
    <xf numFmtId="0" fontId="30" fillId="2" borderId="28" xfId="1" applyFont="1" applyFill="1" applyBorder="1"/>
    <xf numFmtId="0" fontId="47" fillId="2" borderId="0" xfId="0" applyFont="1" applyFill="1" applyAlignment="1">
      <alignment horizontal="center"/>
    </xf>
    <xf numFmtId="168" fontId="26" fillId="2" borderId="0" xfId="0" applyNumberFormat="1" applyFont="1" applyFill="1" applyBorder="1" applyAlignment="1">
      <alignment horizontal="center" vertical="center"/>
    </xf>
    <xf numFmtId="168" fontId="26" fillId="2" borderId="10" xfId="0" applyNumberFormat="1" applyFont="1" applyFill="1" applyBorder="1" applyAlignment="1">
      <alignment horizontal="center" vertical="center"/>
    </xf>
    <xf numFmtId="0" fontId="30" fillId="2" borderId="29" xfId="1" applyFont="1" applyFill="1" applyBorder="1"/>
    <xf numFmtId="0" fontId="45" fillId="5" borderId="30" xfId="0" applyFont="1" applyFill="1" applyBorder="1" applyAlignment="1">
      <alignment horizontal="center" vertical="center"/>
    </xf>
    <xf numFmtId="0" fontId="45" fillId="5" borderId="31" xfId="0" applyFont="1" applyFill="1" applyBorder="1" applyAlignment="1">
      <alignment horizontal="center" vertical="center"/>
    </xf>
    <xf numFmtId="0" fontId="0" fillId="2" borderId="32" xfId="0" applyFill="1" applyBorder="1"/>
    <xf numFmtId="0" fontId="34" fillId="8" borderId="10" xfId="0" applyFont="1" applyFill="1" applyBorder="1" applyAlignment="1">
      <alignment horizontal="center" vertical="center"/>
    </xf>
    <xf numFmtId="0" fontId="45" fillId="5" borderId="7" xfId="0" applyFont="1" applyFill="1" applyBorder="1" applyAlignment="1">
      <alignment horizontal="center" vertical="center" wrapText="1"/>
    </xf>
    <xf numFmtId="0" fontId="30" fillId="0" borderId="33" xfId="0" applyFont="1" applyFill="1" applyBorder="1" applyAlignment="1">
      <alignment horizontal="center" vertical="center"/>
    </xf>
    <xf numFmtId="0" fontId="30" fillId="3" borderId="34" xfId="0" applyFont="1" applyFill="1" applyBorder="1" applyAlignment="1">
      <alignment horizontal="center" vertical="center"/>
    </xf>
    <xf numFmtId="169" fontId="30" fillId="0" borderId="33" xfId="0" applyNumberFormat="1" applyFont="1" applyFill="1" applyBorder="1" applyAlignment="1">
      <alignment horizontal="center" vertical="center"/>
    </xf>
    <xf numFmtId="174" fontId="30" fillId="0" borderId="35" xfId="0" applyNumberFormat="1" applyFont="1" applyFill="1" applyBorder="1" applyAlignment="1">
      <alignment horizontal="center" vertical="center"/>
    </xf>
    <xf numFmtId="0" fontId="0" fillId="2" borderId="0" xfId="0" applyFill="1" applyBorder="1"/>
    <xf numFmtId="174" fontId="30" fillId="9" borderId="13" xfId="0" applyNumberFormat="1" applyFont="1" applyFill="1" applyBorder="1" applyAlignment="1">
      <alignment vertical="center"/>
    </xf>
    <xf numFmtId="0" fontId="30" fillId="0" borderId="20" xfId="0" applyFont="1" applyFill="1" applyBorder="1" applyAlignment="1">
      <alignment horizontal="center" vertical="center"/>
    </xf>
    <xf numFmtId="0" fontId="30" fillId="3" borderId="36" xfId="0" applyFont="1" applyFill="1" applyBorder="1" applyAlignment="1">
      <alignment horizontal="center" vertical="center"/>
    </xf>
    <xf numFmtId="169" fontId="30" fillId="0" borderId="20" xfId="0" applyNumberFormat="1" applyFont="1" applyFill="1" applyBorder="1" applyAlignment="1">
      <alignment horizontal="center" vertical="center"/>
    </xf>
    <xf numFmtId="174" fontId="30" fillId="0" borderId="37" xfId="0" applyNumberFormat="1" applyFont="1" applyFill="1" applyBorder="1" applyAlignment="1">
      <alignment horizontal="center" vertical="center"/>
    </xf>
    <xf numFmtId="174" fontId="30" fillId="9" borderId="14" xfId="0" applyNumberFormat="1" applyFont="1" applyFill="1" applyBorder="1" applyAlignment="1">
      <alignment vertical="center"/>
    </xf>
    <xf numFmtId="0" fontId="15" fillId="0" borderId="10" xfId="1" applyFont="1" applyBorder="1" applyAlignment="1">
      <alignment horizontal="center" vertical="center"/>
    </xf>
    <xf numFmtId="0" fontId="30" fillId="2" borderId="8" xfId="1" applyFont="1" applyFill="1" applyBorder="1"/>
    <xf numFmtId="0" fontId="30" fillId="2" borderId="38" xfId="1" applyFont="1" applyFill="1" applyBorder="1"/>
    <xf numFmtId="0" fontId="30" fillId="0" borderId="39" xfId="0" applyFont="1" applyFill="1" applyBorder="1" applyAlignment="1">
      <alignment horizontal="center" vertical="center"/>
    </xf>
    <xf numFmtId="0" fontId="30" fillId="3" borderId="40" xfId="0" applyFont="1" applyFill="1" applyBorder="1" applyAlignment="1">
      <alignment horizontal="center" vertical="center"/>
    </xf>
    <xf numFmtId="169" fontId="30" fillId="0" borderId="39" xfId="0" applyNumberFormat="1" applyFont="1" applyFill="1" applyBorder="1" applyAlignment="1">
      <alignment horizontal="center" vertical="center"/>
    </xf>
    <xf numFmtId="174" fontId="30" fillId="0" borderId="41" xfId="0" applyNumberFormat="1" applyFont="1" applyFill="1" applyBorder="1" applyAlignment="1">
      <alignment horizontal="center" vertical="center"/>
    </xf>
    <xf numFmtId="174" fontId="30" fillId="9" borderId="15" xfId="0" applyNumberFormat="1" applyFont="1" applyFill="1" applyBorder="1" applyAlignment="1">
      <alignment vertical="center"/>
    </xf>
    <xf numFmtId="0" fontId="8" fillId="2" borderId="0" xfId="0" applyFont="1" applyFill="1" applyAlignment="1">
      <alignment vertical="center"/>
    </xf>
    <xf numFmtId="175" fontId="30" fillId="2" borderId="27" xfId="0" applyNumberFormat="1" applyFont="1" applyFill="1" applyBorder="1"/>
    <xf numFmtId="0" fontId="77" fillId="5" borderId="10" xfId="1" applyFont="1" applyFill="1" applyBorder="1" applyAlignment="1">
      <alignment horizontal="center" vertical="center"/>
    </xf>
    <xf numFmtId="0" fontId="29" fillId="5" borderId="42" xfId="1" applyFont="1" applyFill="1" applyBorder="1" applyAlignment="1">
      <alignment horizontal="center" vertical="center"/>
    </xf>
    <xf numFmtId="0" fontId="30" fillId="2" borderId="43" xfId="1" applyFont="1" applyFill="1" applyBorder="1"/>
    <xf numFmtId="0" fontId="8" fillId="3" borderId="7" xfId="0" applyNumberFormat="1" applyFont="1" applyFill="1" applyBorder="1" applyAlignment="1">
      <alignment horizontal="center" vertical="center"/>
    </xf>
    <xf numFmtId="174" fontId="26" fillId="0" borderId="7" xfId="0" applyNumberFormat="1" applyFont="1" applyFill="1" applyBorder="1" applyAlignment="1">
      <alignment vertical="center"/>
    </xf>
    <xf numFmtId="174" fontId="8" fillId="0" borderId="7" xfId="0" applyNumberFormat="1" applyFont="1" applyFill="1" applyBorder="1" applyAlignment="1">
      <alignment vertical="center"/>
    </xf>
    <xf numFmtId="0" fontId="46" fillId="5" borderId="10" xfId="1" applyFont="1" applyFill="1" applyBorder="1" applyAlignment="1">
      <alignment vertical="center"/>
    </xf>
    <xf numFmtId="0" fontId="30" fillId="2" borderId="0" xfId="1" applyFont="1" applyFill="1" applyBorder="1" applyAlignment="1">
      <alignment vertical="center"/>
    </xf>
    <xf numFmtId="0" fontId="30" fillId="2" borderId="27" xfId="1" applyFont="1" applyFill="1" applyBorder="1" applyAlignment="1">
      <alignment vertical="center"/>
    </xf>
    <xf numFmtId="0" fontId="8" fillId="2" borderId="0" xfId="0" applyFont="1" applyFill="1" applyBorder="1"/>
    <xf numFmtId="0" fontId="30" fillId="6" borderId="44" xfId="1" applyFont="1" applyFill="1" applyBorder="1" applyAlignment="1">
      <alignment vertical="center"/>
    </xf>
    <xf numFmtId="168" fontId="30" fillId="9" borderId="7" xfId="1" applyNumberFormat="1" applyFont="1" applyFill="1" applyBorder="1" applyAlignment="1">
      <alignment vertical="center"/>
    </xf>
    <xf numFmtId="168" fontId="30" fillId="2" borderId="0" xfId="1" applyNumberFormat="1" applyFont="1" applyFill="1" applyBorder="1" applyAlignment="1">
      <alignment vertical="center"/>
    </xf>
    <xf numFmtId="0" fontId="30" fillId="2" borderId="45" xfId="1" applyFont="1" applyFill="1" applyBorder="1" applyAlignment="1">
      <alignment vertical="center"/>
    </xf>
    <xf numFmtId="0" fontId="30" fillId="0" borderId="3" xfId="1" applyFont="1" applyBorder="1" applyAlignment="1">
      <alignment vertical="center"/>
    </xf>
    <xf numFmtId="0" fontId="30" fillId="2" borderId="36" xfId="1" applyFont="1" applyFill="1" applyBorder="1" applyAlignment="1">
      <alignment vertical="center"/>
    </xf>
    <xf numFmtId="168" fontId="30" fillId="9" borderId="13" xfId="1" applyNumberFormat="1" applyFont="1" applyFill="1" applyBorder="1" applyAlignment="1">
      <alignment vertical="center"/>
    </xf>
    <xf numFmtId="174" fontId="30" fillId="9" borderId="13" xfId="0" applyNumberFormat="1" applyFont="1" applyFill="1" applyBorder="1"/>
    <xf numFmtId="168" fontId="30" fillId="9" borderId="14" xfId="1" applyNumberFormat="1" applyFont="1" applyFill="1" applyBorder="1" applyAlignment="1">
      <alignment vertical="center"/>
    </xf>
    <xf numFmtId="0" fontId="57" fillId="2" borderId="0" xfId="0" applyFont="1" applyFill="1" applyBorder="1" applyAlignment="1">
      <alignment vertical="center" wrapText="1"/>
    </xf>
    <xf numFmtId="174" fontId="30" fillId="9" borderId="14" xfId="0" applyNumberFormat="1" applyFont="1" applyFill="1" applyBorder="1"/>
    <xf numFmtId="168" fontId="30" fillId="9" borderId="15" xfId="1" applyNumberFormat="1" applyFont="1" applyFill="1" applyBorder="1" applyAlignment="1">
      <alignment vertical="center"/>
    </xf>
    <xf numFmtId="0" fontId="30" fillId="2" borderId="46" xfId="1" applyFont="1" applyFill="1" applyBorder="1" applyAlignment="1">
      <alignment vertical="center"/>
    </xf>
    <xf numFmtId="174" fontId="30" fillId="9" borderId="47" xfId="0" applyNumberFormat="1" applyFont="1" applyFill="1" applyBorder="1"/>
    <xf numFmtId="168" fontId="27" fillId="7" borderId="48" xfId="1" applyNumberFormat="1" applyFont="1" applyFill="1" applyBorder="1" applyAlignment="1">
      <alignment horizontal="center" vertical="center"/>
    </xf>
    <xf numFmtId="0" fontId="30" fillId="0" borderId="44" xfId="1" applyFont="1" applyBorder="1" applyAlignment="1">
      <alignment vertical="center"/>
    </xf>
    <xf numFmtId="0" fontId="13" fillId="2" borderId="9" xfId="1" applyFont="1" applyFill="1" applyBorder="1" applyAlignment="1">
      <alignment vertical="center"/>
    </xf>
    <xf numFmtId="0" fontId="13" fillId="2" borderId="49" xfId="1" applyFont="1" applyFill="1" applyBorder="1" applyAlignment="1">
      <alignment vertical="center"/>
    </xf>
    <xf numFmtId="0" fontId="13" fillId="2" borderId="10" xfId="1" applyFont="1" applyFill="1" applyBorder="1" applyAlignment="1">
      <alignment vertical="center"/>
    </xf>
    <xf numFmtId="10" fontId="47" fillId="0" borderId="7" xfId="1" applyNumberFormat="1" applyFont="1" applyBorder="1" applyAlignment="1">
      <alignment vertical="center"/>
    </xf>
    <xf numFmtId="168" fontId="27" fillId="7" borderId="7" xfId="1" applyNumberFormat="1" applyFont="1" applyFill="1" applyBorder="1" applyAlignment="1">
      <alignment vertical="center"/>
    </xf>
    <xf numFmtId="0" fontId="81" fillId="2" borderId="0" xfId="1" applyFont="1" applyFill="1" applyAlignment="1">
      <alignment horizontal="center"/>
    </xf>
    <xf numFmtId="168" fontId="27" fillId="3" borderId="7" xfId="1" applyNumberFormat="1" applyFont="1" applyFill="1" applyBorder="1" applyAlignment="1">
      <alignment vertical="center"/>
    </xf>
    <xf numFmtId="0" fontId="46" fillId="5" borderId="42" xfId="1" applyFont="1" applyFill="1" applyBorder="1" applyAlignment="1">
      <alignment horizontal="center" vertical="center"/>
    </xf>
    <xf numFmtId="0" fontId="46" fillId="5" borderId="50" xfId="1" applyFont="1" applyFill="1" applyBorder="1" applyAlignment="1">
      <alignment horizontal="center" vertical="center"/>
    </xf>
    <xf numFmtId="0" fontId="32" fillId="2" borderId="9" xfId="1" applyFont="1" applyFill="1" applyBorder="1" applyAlignment="1">
      <alignment horizontal="center" vertical="center"/>
    </xf>
    <xf numFmtId="0" fontId="32" fillId="2" borderId="49" xfId="1" applyFont="1" applyFill="1" applyBorder="1" applyAlignment="1">
      <alignment horizontal="center" vertical="center"/>
    </xf>
    <xf numFmtId="168" fontId="65" fillId="9" borderId="51" xfId="1" applyNumberFormat="1" applyFont="1" applyFill="1" applyBorder="1" applyAlignment="1">
      <alignment vertical="center"/>
    </xf>
    <xf numFmtId="168" fontId="30" fillId="2" borderId="0" xfId="1" applyNumberFormat="1" applyFont="1" applyFill="1" applyAlignment="1">
      <alignment vertical="center"/>
    </xf>
    <xf numFmtId="0" fontId="32" fillId="0" borderId="0" xfId="1" applyFont="1" applyFill="1" applyAlignment="1">
      <alignment horizontal="center" vertical="center"/>
    </xf>
    <xf numFmtId="0" fontId="13" fillId="0" borderId="0" xfId="1" applyFont="1" applyAlignment="1">
      <alignment vertical="center"/>
    </xf>
    <xf numFmtId="0" fontId="47" fillId="0" borderId="0" xfId="1" applyFont="1" applyAlignment="1">
      <alignment vertical="center"/>
    </xf>
    <xf numFmtId="168" fontId="30" fillId="2" borderId="36" xfId="1" applyNumberFormat="1" applyFont="1" applyFill="1" applyBorder="1" applyAlignment="1">
      <alignment vertical="center"/>
    </xf>
    <xf numFmtId="0" fontId="30" fillId="2" borderId="52" xfId="1" applyFont="1" applyFill="1" applyBorder="1" applyAlignment="1">
      <alignment vertical="center"/>
    </xf>
    <xf numFmtId="0" fontId="13" fillId="0" borderId="0" xfId="1" applyFont="1"/>
    <xf numFmtId="168" fontId="30" fillId="9" borderId="53" xfId="1" applyNumberFormat="1" applyFont="1" applyFill="1" applyBorder="1" applyAlignment="1">
      <alignment vertical="center"/>
    </xf>
    <xf numFmtId="0" fontId="30" fillId="0" borderId="53" xfId="1" applyFont="1" applyBorder="1" applyAlignment="1">
      <alignment vertical="center"/>
    </xf>
    <xf numFmtId="0" fontId="30" fillId="0" borderId="54" xfId="1" applyFont="1" applyBorder="1" applyAlignment="1">
      <alignment vertical="center"/>
    </xf>
    <xf numFmtId="168" fontId="30" fillId="2" borderId="55" xfId="1" applyNumberFormat="1" applyFont="1" applyFill="1" applyBorder="1" applyAlignment="1">
      <alignment vertical="center"/>
    </xf>
    <xf numFmtId="0" fontId="30" fillId="2" borderId="8" xfId="1" applyFont="1" applyFill="1" applyBorder="1" applyAlignment="1">
      <alignment vertical="center"/>
    </xf>
    <xf numFmtId="0" fontId="48" fillId="2" borderId="8" xfId="1" applyFont="1" applyFill="1" applyBorder="1" applyAlignment="1">
      <alignment vertical="center"/>
    </xf>
    <xf numFmtId="0" fontId="30" fillId="2" borderId="38" xfId="1" applyFont="1" applyFill="1" applyBorder="1" applyAlignment="1">
      <alignment vertical="center"/>
    </xf>
    <xf numFmtId="0" fontId="48" fillId="0" borderId="0" xfId="1" applyFont="1" applyAlignment="1">
      <alignment vertical="center"/>
    </xf>
    <xf numFmtId="0" fontId="30" fillId="0" borderId="0" xfId="0" applyFont="1" applyFill="1" applyAlignment="1">
      <alignment vertical="center"/>
    </xf>
    <xf numFmtId="0" fontId="30" fillId="0" borderId="0" xfId="0" applyFont="1" applyBorder="1" applyAlignment="1">
      <alignment vertical="center"/>
    </xf>
    <xf numFmtId="0" fontId="15" fillId="0" borderId="0" xfId="0" applyFont="1" applyBorder="1" applyAlignment="1">
      <alignment vertical="center"/>
    </xf>
    <xf numFmtId="164" fontId="27" fillId="0" borderId="0" xfId="0" applyNumberFormat="1" applyFont="1" applyBorder="1" applyAlignment="1">
      <alignment vertical="center"/>
    </xf>
    <xf numFmtId="0" fontId="83" fillId="0" borderId="0" xfId="0" applyFont="1" applyBorder="1" applyAlignment="1">
      <alignment vertical="center"/>
    </xf>
    <xf numFmtId="0" fontId="30" fillId="0" borderId="0" xfId="0" applyFont="1" applyAlignment="1">
      <alignment horizontal="right" vertical="center"/>
    </xf>
    <xf numFmtId="0" fontId="30" fillId="0" borderId="0" xfId="0" applyFont="1" applyBorder="1" applyAlignment="1">
      <alignment horizontal="right" vertical="center"/>
    </xf>
    <xf numFmtId="0" fontId="30" fillId="0" borderId="0" xfId="0" applyFont="1" applyBorder="1" applyAlignment="1">
      <alignment horizontal="right" vertical="center" wrapText="1"/>
    </xf>
    <xf numFmtId="0" fontId="33" fillId="0" borderId="0" xfId="0" applyFont="1" applyBorder="1" applyAlignment="1">
      <alignment horizontal="right"/>
    </xf>
    <xf numFmtId="0" fontId="27" fillId="0" borderId="0" xfId="0" applyFont="1" applyBorder="1" applyAlignment="1">
      <alignment horizontal="right" vertical="center"/>
    </xf>
    <xf numFmtId="0" fontId="17" fillId="0" borderId="0" xfId="0" applyFont="1" applyBorder="1" applyAlignment="1">
      <alignment horizontal="left" vertical="center"/>
    </xf>
    <xf numFmtId="0" fontId="27" fillId="0" borderId="0" xfId="0" applyFont="1" applyFill="1" applyAlignment="1">
      <alignment horizontal="left" vertical="center"/>
    </xf>
    <xf numFmtId="0" fontId="34" fillId="0" borderId="56" xfId="0" applyFont="1" applyFill="1" applyBorder="1" applyAlignment="1">
      <alignment horizontal="center" vertical="center" wrapText="1"/>
    </xf>
    <xf numFmtId="0" fontId="34" fillId="0" borderId="55" xfId="0" applyFont="1" applyFill="1" applyBorder="1" applyAlignment="1">
      <alignment horizontal="center" vertical="center" wrapText="1"/>
    </xf>
    <xf numFmtId="0" fontId="34" fillId="0" borderId="28" xfId="0" applyFont="1" applyFill="1" applyBorder="1" applyAlignment="1">
      <alignment horizontal="center" vertical="center" wrapText="1"/>
    </xf>
    <xf numFmtId="0" fontId="84" fillId="0" borderId="7" xfId="0" applyFont="1" applyBorder="1" applyAlignment="1">
      <alignment horizontal="center" vertical="center" wrapText="1"/>
    </xf>
    <xf numFmtId="0" fontId="47" fillId="0" borderId="7" xfId="0" applyFont="1" applyFill="1" applyBorder="1" applyAlignment="1">
      <alignment horizontal="center" vertical="center" wrapText="1"/>
    </xf>
    <xf numFmtId="0" fontId="52" fillId="3" borderId="42" xfId="0" applyFont="1" applyFill="1" applyBorder="1" applyAlignment="1">
      <alignment horizontal="center" vertical="center"/>
    </xf>
    <xf numFmtId="0" fontId="50" fillId="3" borderId="7" xfId="0" applyFont="1" applyFill="1" applyBorder="1" applyAlignment="1">
      <alignment horizontal="center" vertical="center"/>
    </xf>
    <xf numFmtId="0" fontId="54" fillId="3" borderId="7" xfId="0" applyFont="1" applyFill="1" applyBorder="1" applyAlignment="1">
      <alignment horizontal="center" vertical="center" wrapText="1"/>
    </xf>
    <xf numFmtId="0" fontId="26" fillId="0" borderId="0" xfId="0" applyFont="1" applyBorder="1" applyAlignment="1">
      <alignment horizontal="right" vertical="center"/>
    </xf>
    <xf numFmtId="0" fontId="15" fillId="0" borderId="0" xfId="0" applyFont="1" applyBorder="1" applyAlignment="1" applyProtection="1">
      <alignment horizontal="center" vertical="center"/>
      <protection hidden="1"/>
    </xf>
    <xf numFmtId="0" fontId="0" fillId="0" borderId="0" xfId="0" applyBorder="1" applyAlignment="1">
      <alignment vertical="center"/>
    </xf>
    <xf numFmtId="0" fontId="85" fillId="0" borderId="7" xfId="0" applyFont="1" applyFill="1" applyBorder="1" applyAlignment="1">
      <alignment horizontal="center" vertical="center" wrapText="1"/>
    </xf>
    <xf numFmtId="0" fontId="55" fillId="3" borderId="42" xfId="0" applyFont="1" applyFill="1" applyBorder="1" applyAlignment="1">
      <alignment horizontal="center" vertical="center"/>
    </xf>
    <xf numFmtId="0" fontId="0" fillId="2" borderId="0" xfId="0" applyFill="1"/>
    <xf numFmtId="0" fontId="50" fillId="4" borderId="7" xfId="0" applyNumberFormat="1" applyFont="1" applyFill="1" applyBorder="1" applyAlignment="1">
      <alignment horizontal="center" vertical="center"/>
    </xf>
    <xf numFmtId="173" fontId="34" fillId="4" borderId="57" xfId="0" applyNumberFormat="1" applyFont="1" applyFill="1" applyBorder="1" applyAlignment="1">
      <alignment horizontal="center" vertical="center"/>
    </xf>
    <xf numFmtId="0" fontId="47" fillId="0" borderId="7" xfId="0" applyFont="1" applyBorder="1" applyAlignment="1">
      <alignment horizontal="center" vertical="top" textRotation="90" wrapText="1"/>
    </xf>
    <xf numFmtId="0" fontId="13" fillId="2" borderId="9" xfId="0" applyFont="1" applyFill="1" applyBorder="1" applyAlignment="1">
      <alignment horizontal="center" vertical="center" wrapText="1"/>
    </xf>
    <xf numFmtId="10" fontId="27" fillId="2" borderId="49" xfId="0" applyNumberFormat="1" applyFont="1" applyFill="1" applyBorder="1" applyAlignment="1">
      <alignment horizontal="center" vertical="center"/>
    </xf>
    <xf numFmtId="173" fontId="34" fillId="10" borderId="58" xfId="0" applyNumberFormat="1" applyFont="1" applyFill="1" applyBorder="1" applyAlignment="1">
      <alignment horizontal="center" vertical="center"/>
    </xf>
    <xf numFmtId="173" fontId="34" fillId="10" borderId="18" xfId="0" applyNumberFormat="1" applyFont="1" applyFill="1" applyBorder="1" applyAlignment="1">
      <alignment horizontal="center" vertical="center"/>
    </xf>
    <xf numFmtId="171" fontId="50" fillId="10" borderId="55" xfId="0" applyNumberFormat="1" applyFont="1" applyFill="1" applyBorder="1" applyAlignment="1">
      <alignment horizontal="center" vertical="center" wrapText="1"/>
    </xf>
    <xf numFmtId="168" fontId="55" fillId="10" borderId="58" xfId="0" applyNumberFormat="1" applyFont="1" applyFill="1" applyBorder="1" applyAlignment="1">
      <alignment horizontal="center" vertical="center"/>
    </xf>
    <xf numFmtId="10" fontId="27" fillId="10" borderId="7" xfId="0" applyNumberFormat="1" applyFont="1" applyFill="1" applyBorder="1" applyAlignment="1">
      <alignment horizontal="center" vertical="center"/>
    </xf>
    <xf numFmtId="170" fontId="90" fillId="4" borderId="7" xfId="0" applyNumberFormat="1" applyFont="1" applyFill="1" applyBorder="1" applyAlignment="1">
      <alignment horizontal="center" vertical="center"/>
    </xf>
    <xf numFmtId="172" fontId="91" fillId="2" borderId="58" xfId="0" applyNumberFormat="1" applyFont="1" applyFill="1" applyBorder="1" applyAlignment="1">
      <alignment horizontal="center" vertical="center"/>
    </xf>
    <xf numFmtId="172" fontId="91" fillId="2" borderId="0" xfId="0" applyNumberFormat="1" applyFont="1" applyFill="1" applyAlignment="1">
      <alignment horizontal="center" vertical="center"/>
    </xf>
    <xf numFmtId="172" fontId="91" fillId="2" borderId="27" xfId="0" applyNumberFormat="1" applyFont="1" applyFill="1" applyBorder="1" applyAlignment="1">
      <alignment horizontal="center" vertical="center"/>
    </xf>
    <xf numFmtId="0" fontId="92" fillId="10" borderId="7" xfId="0" applyFont="1" applyFill="1" applyBorder="1" applyAlignment="1">
      <alignment horizontal="center" vertical="center"/>
    </xf>
    <xf numFmtId="170" fontId="27" fillId="2" borderId="7" xfId="0" applyNumberFormat="1" applyFont="1" applyFill="1" applyBorder="1" applyAlignment="1">
      <alignment horizontal="center" vertical="center" wrapText="1"/>
    </xf>
    <xf numFmtId="168" fontId="54" fillId="10" borderId="59" xfId="0" applyNumberFormat="1" applyFont="1" applyFill="1" applyBorder="1" applyAlignment="1">
      <alignment horizontal="center" vertical="center"/>
    </xf>
    <xf numFmtId="0" fontId="94" fillId="0" borderId="0" xfId="0" applyFont="1"/>
    <xf numFmtId="0" fontId="97" fillId="5" borderId="7" xfId="0" applyFont="1" applyFill="1" applyBorder="1" applyAlignment="1">
      <alignment horizontal="center"/>
    </xf>
    <xf numFmtId="0" fontId="0" fillId="10" borderId="60" xfId="0" applyFill="1" applyBorder="1"/>
    <xf numFmtId="0" fontId="0" fillId="10" borderId="61" xfId="0" applyFill="1" applyBorder="1"/>
    <xf numFmtId="0" fontId="94" fillId="10" borderId="0" xfId="0" applyFont="1" applyFill="1" applyBorder="1"/>
    <xf numFmtId="0" fontId="94" fillId="10" borderId="37" xfId="0" applyFont="1" applyFill="1" applyBorder="1"/>
    <xf numFmtId="0" fontId="97" fillId="5" borderId="64" xfId="0" applyFont="1" applyFill="1" applyBorder="1" applyAlignment="1">
      <alignment horizontal="center"/>
    </xf>
    <xf numFmtId="0" fontId="94" fillId="10" borderId="0" xfId="0" applyFont="1" applyFill="1" applyBorder="1" applyAlignment="1">
      <alignment horizontal="center"/>
    </xf>
    <xf numFmtId="0" fontId="94" fillId="10" borderId="37" xfId="0" applyFont="1" applyFill="1" applyBorder="1" applyAlignment="1">
      <alignment horizontal="center"/>
    </xf>
    <xf numFmtId="0" fontId="0" fillId="11" borderId="0" xfId="0" applyFill="1" applyBorder="1"/>
    <xf numFmtId="0" fontId="94" fillId="0" borderId="0" xfId="0" applyFont="1" applyBorder="1"/>
    <xf numFmtId="0" fontId="94" fillId="11" borderId="0" xfId="0" applyFont="1" applyFill="1" applyBorder="1"/>
    <xf numFmtId="0" fontId="0" fillId="11" borderId="62" xfId="0" applyFill="1" applyBorder="1"/>
    <xf numFmtId="0" fontId="0" fillId="11" borderId="63" xfId="0" applyFill="1" applyBorder="1"/>
    <xf numFmtId="0" fontId="0" fillId="11" borderId="37" xfId="0" applyFill="1" applyBorder="1"/>
    <xf numFmtId="0" fontId="94" fillId="0" borderId="63" xfId="0" applyFont="1" applyBorder="1"/>
    <xf numFmtId="0" fontId="0" fillId="0" borderId="37" xfId="0" applyBorder="1"/>
    <xf numFmtId="0" fontId="94" fillId="11" borderId="63" xfId="0" applyFont="1" applyFill="1" applyBorder="1"/>
    <xf numFmtId="0" fontId="101" fillId="5" borderId="7" xfId="0" applyFont="1" applyFill="1" applyBorder="1" applyAlignment="1">
      <alignment horizontal="center" vertical="center" wrapText="1"/>
    </xf>
    <xf numFmtId="0" fontId="101" fillId="5" borderId="64" xfId="0" applyFont="1" applyFill="1" applyBorder="1" applyAlignment="1">
      <alignment horizontal="center" vertical="center" wrapText="1"/>
    </xf>
    <xf numFmtId="0" fontId="97" fillId="5" borderId="65" xfId="0" applyFont="1" applyFill="1" applyBorder="1"/>
    <xf numFmtId="0" fontId="94" fillId="0" borderId="7" xfId="0" applyFont="1" applyBorder="1" applyAlignment="1">
      <alignment horizontal="center" vertical="center"/>
    </xf>
    <xf numFmtId="0" fontId="0" fillId="0" borderId="64" xfId="0" applyBorder="1" applyAlignment="1">
      <alignment horizontal="center" vertical="center"/>
    </xf>
    <xf numFmtId="168" fontId="4" fillId="0" borderId="0" xfId="0" applyNumberFormat="1" applyFont="1" applyBorder="1" applyAlignment="1"/>
    <xf numFmtId="10" fontId="94" fillId="0" borderId="7" xfId="0" applyNumberFormat="1" applyFont="1" applyBorder="1"/>
    <xf numFmtId="0" fontId="103" fillId="0" borderId="0" xfId="0" applyFont="1" applyAlignment="1">
      <alignment horizontal="center"/>
    </xf>
    <xf numFmtId="165" fontId="103" fillId="0" borderId="0" xfId="0" applyNumberFormat="1" applyFont="1" applyAlignment="1">
      <alignment horizontal="center"/>
    </xf>
    <xf numFmtId="0" fontId="94" fillId="0" borderId="0" xfId="0" applyFont="1" applyAlignment="1">
      <alignment horizontal="center" vertical="center" wrapText="1"/>
    </xf>
    <xf numFmtId="0" fontId="104" fillId="0" borderId="0" xfId="0" applyFont="1" applyAlignment="1">
      <alignment horizontal="center" vertical="center" wrapText="1"/>
    </xf>
    <xf numFmtId="0" fontId="94" fillId="0" borderId="0" xfId="0" applyFont="1" applyAlignment="1">
      <alignment horizontal="center" vertical="center"/>
    </xf>
    <xf numFmtId="0" fontId="97" fillId="11" borderId="63" xfId="0" applyFont="1" applyFill="1" applyBorder="1"/>
    <xf numFmtId="0" fontId="106" fillId="11" borderId="0" xfId="0" applyFont="1" applyFill="1" applyBorder="1" applyAlignment="1">
      <alignment horizontal="center"/>
    </xf>
    <xf numFmtId="0" fontId="105" fillId="11" borderId="37" xfId="0" applyFont="1" applyFill="1" applyBorder="1" applyAlignment="1">
      <alignment vertical="center"/>
    </xf>
    <xf numFmtId="0" fontId="48" fillId="2" borderId="66" xfId="0" applyFont="1" applyFill="1" applyBorder="1" applyAlignment="1">
      <alignment horizontal="center" vertical="center" textRotation="90" wrapText="1"/>
    </xf>
    <xf numFmtId="171" fontId="49" fillId="2" borderId="0" xfId="0" applyNumberFormat="1" applyFont="1" applyFill="1" applyBorder="1" applyAlignment="1">
      <alignment horizontal="center" vertical="center" wrapText="1"/>
    </xf>
    <xf numFmtId="170" fontId="48" fillId="2" borderId="8" xfId="0" applyNumberFormat="1" applyFont="1" applyFill="1" applyBorder="1" applyAlignment="1">
      <alignment horizontal="left" vertical="center" wrapText="1"/>
    </xf>
    <xf numFmtId="170" fontId="27" fillId="2" borderId="49" xfId="0" applyNumberFormat="1" applyFont="1" applyFill="1" applyBorder="1" applyAlignment="1">
      <alignment horizontal="center" vertical="center" wrapText="1"/>
    </xf>
    <xf numFmtId="0" fontId="13" fillId="0" borderId="9" xfId="0" applyFont="1" applyBorder="1" applyAlignment="1">
      <alignment horizontal="center" vertical="center" wrapText="1"/>
    </xf>
    <xf numFmtId="10" fontId="27" fillId="10" borderId="49" xfId="0" applyNumberFormat="1" applyFont="1" applyFill="1" applyBorder="1" applyAlignment="1">
      <alignment horizontal="center" vertical="center"/>
    </xf>
    <xf numFmtId="0" fontId="107" fillId="0" borderId="0" xfId="0" applyFont="1" applyAlignment="1">
      <alignment horizontal="center" vertical="center"/>
    </xf>
    <xf numFmtId="0" fontId="107" fillId="0" borderId="0" xfId="0" applyFont="1" applyAlignment="1">
      <alignment horizontal="center" vertical="center" wrapText="1"/>
    </xf>
    <xf numFmtId="0" fontId="36" fillId="2" borderId="8" xfId="0" applyFont="1" applyFill="1" applyBorder="1" applyAlignment="1">
      <alignment vertical="center"/>
    </xf>
    <xf numFmtId="168" fontId="54" fillId="2" borderId="67" xfId="0" applyNumberFormat="1" applyFont="1" applyFill="1" applyBorder="1" applyAlignment="1">
      <alignment horizontal="center" vertical="center"/>
    </xf>
    <xf numFmtId="0" fontId="50" fillId="2" borderId="11" xfId="0" applyFont="1" applyFill="1" applyBorder="1" applyAlignment="1">
      <alignment horizontal="center" vertical="center" wrapText="1"/>
    </xf>
    <xf numFmtId="0" fontId="53" fillId="2" borderId="11" xfId="0" applyFont="1" applyFill="1" applyBorder="1" applyAlignment="1">
      <alignment horizontal="center" vertical="center"/>
    </xf>
    <xf numFmtId="173" fontId="34" fillId="2" borderId="11" xfId="0" applyNumberFormat="1" applyFont="1" applyFill="1" applyBorder="1" applyAlignment="1">
      <alignment horizontal="center" vertical="center"/>
    </xf>
    <xf numFmtId="171" fontId="110" fillId="2" borderId="6" xfId="0" applyNumberFormat="1" applyFont="1" applyFill="1" applyBorder="1" applyAlignment="1">
      <alignment horizontal="center" vertical="center" wrapText="1"/>
    </xf>
    <xf numFmtId="0" fontId="0" fillId="0" borderId="7" xfId="0" applyBorder="1" applyAlignment="1">
      <alignment horizontal="center" vertical="center"/>
    </xf>
    <xf numFmtId="0" fontId="0" fillId="0" borderId="7" xfId="0" applyBorder="1"/>
    <xf numFmtId="0" fontId="0" fillId="0" borderId="7" xfId="0" applyBorder="1" applyAlignment="1">
      <alignment horizontal="center" vertical="center" wrapText="1"/>
    </xf>
    <xf numFmtId="171" fontId="1" fillId="0" borderId="7" xfId="0" applyNumberFormat="1" applyFont="1" applyBorder="1" applyAlignment="1">
      <alignment horizontal="center" vertical="center"/>
    </xf>
    <xf numFmtId="0" fontId="1" fillId="0" borderId="7" xfId="0" applyFont="1" applyBorder="1" applyAlignment="1">
      <alignment horizontal="center" vertical="center"/>
    </xf>
    <xf numFmtId="172" fontId="109" fillId="2" borderId="27" xfId="0" applyNumberFormat="1" applyFont="1" applyFill="1" applyBorder="1" applyAlignment="1">
      <alignment horizontal="center" vertical="center"/>
    </xf>
    <xf numFmtId="0" fontId="104" fillId="0" borderId="7" xfId="0" applyFont="1" applyBorder="1" applyAlignment="1">
      <alignment horizontal="center" vertical="center"/>
    </xf>
    <xf numFmtId="0" fontId="94" fillId="0" borderId="64" xfId="0" applyFont="1" applyBorder="1" applyAlignment="1">
      <alignment horizontal="center" vertical="center"/>
    </xf>
    <xf numFmtId="0" fontId="111" fillId="12" borderId="7" xfId="0" applyFont="1" applyFill="1" applyBorder="1" applyAlignment="1">
      <alignment horizontal="center" vertical="center"/>
    </xf>
    <xf numFmtId="0" fontId="94" fillId="0" borderId="58" xfId="0" applyFont="1" applyBorder="1" applyAlignment="1">
      <alignment horizontal="center" vertical="center"/>
    </xf>
    <xf numFmtId="0" fontId="118" fillId="0" borderId="0" xfId="0" applyFont="1"/>
    <xf numFmtId="0" fontId="118" fillId="2" borderId="18" xfId="0" applyFont="1" applyFill="1" applyBorder="1"/>
    <xf numFmtId="0" fontId="118" fillId="2" borderId="11" xfId="0" applyFont="1" applyFill="1" applyBorder="1"/>
    <xf numFmtId="0" fontId="118" fillId="2" borderId="12" xfId="0" applyFont="1" applyFill="1" applyBorder="1"/>
    <xf numFmtId="0" fontId="118" fillId="2" borderId="20" xfId="0" applyFont="1" applyFill="1" applyBorder="1"/>
    <xf numFmtId="0" fontId="118" fillId="2" borderId="0" xfId="0" applyFont="1" applyFill="1" applyBorder="1"/>
    <xf numFmtId="0" fontId="118" fillId="2" borderId="27" xfId="0" applyFont="1" applyFill="1" applyBorder="1"/>
    <xf numFmtId="0" fontId="119" fillId="0" borderId="7" xfId="0" applyFont="1" applyBorder="1" applyAlignment="1">
      <alignment horizontal="center" vertical="center"/>
    </xf>
    <xf numFmtId="0" fontId="118" fillId="2" borderId="0" xfId="0" applyFont="1" applyFill="1" applyAlignment="1">
      <alignment horizontal="center" vertical="center"/>
    </xf>
    <xf numFmtId="0" fontId="118" fillId="2" borderId="28" xfId="0" applyFont="1" applyFill="1" applyBorder="1"/>
    <xf numFmtId="0" fontId="118" fillId="2" borderId="8" xfId="0" applyFont="1" applyFill="1" applyBorder="1"/>
    <xf numFmtId="0" fontId="118" fillId="2" borderId="38" xfId="0" applyFont="1" applyFill="1" applyBorder="1"/>
    <xf numFmtId="0" fontId="119" fillId="3" borderId="7" xfId="0" applyFont="1" applyFill="1" applyBorder="1" applyAlignment="1">
      <alignment horizontal="center" vertical="center"/>
    </xf>
    <xf numFmtId="0" fontId="118" fillId="2" borderId="0" xfId="0" applyFont="1" applyFill="1"/>
    <xf numFmtId="0" fontId="123" fillId="3" borderId="58" xfId="0" applyFont="1" applyFill="1" applyBorder="1" applyAlignment="1" applyProtection="1">
      <alignment horizontal="center" vertical="center"/>
      <protection locked="0" hidden="1"/>
    </xf>
    <xf numFmtId="0" fontId="123" fillId="0" borderId="58" xfId="0" quotePrefix="1" applyFont="1" applyBorder="1" applyAlignment="1" applyProtection="1">
      <alignment horizontal="center" vertical="center"/>
      <protection hidden="1"/>
    </xf>
    <xf numFmtId="0" fontId="120" fillId="2" borderId="18" xfId="0" applyFont="1" applyFill="1" applyBorder="1" applyAlignment="1" applyProtection="1">
      <alignment horizontal="center" vertical="center"/>
      <protection hidden="1"/>
    </xf>
    <xf numFmtId="0" fontId="124" fillId="2" borderId="11" xfId="0" applyFont="1" applyFill="1" applyBorder="1" applyAlignment="1">
      <alignment horizontal="center" vertical="center" wrapText="1"/>
    </xf>
    <xf numFmtId="0" fontId="127" fillId="2" borderId="28" xfId="0" quotePrefix="1" applyFont="1" applyFill="1" applyBorder="1" applyAlignment="1" applyProtection="1">
      <alignment horizontal="center" vertical="center"/>
      <protection hidden="1"/>
    </xf>
    <xf numFmtId="0" fontId="120" fillId="2" borderId="49" xfId="0" applyFont="1" applyFill="1" applyBorder="1" applyAlignment="1" applyProtection="1">
      <alignment horizontal="center" vertical="center"/>
      <protection locked="0" hidden="1"/>
    </xf>
    <xf numFmtId="0" fontId="128" fillId="2" borderId="49" xfId="0" quotePrefix="1" applyFont="1" applyFill="1" applyBorder="1" applyAlignment="1" applyProtection="1">
      <alignment horizontal="center" vertical="center"/>
      <protection hidden="1"/>
    </xf>
    <xf numFmtId="0" fontId="125" fillId="2" borderId="49" xfId="0" applyFont="1" applyFill="1" applyBorder="1" applyAlignment="1" applyProtection="1">
      <alignment horizontal="center" vertical="center" wrapText="1"/>
      <protection hidden="1"/>
    </xf>
    <xf numFmtId="0" fontId="118" fillId="2" borderId="49" xfId="0" applyFont="1" applyFill="1" applyBorder="1" applyAlignment="1">
      <alignment horizontal="center" vertical="center" wrapText="1"/>
    </xf>
    <xf numFmtId="0" fontId="118" fillId="2" borderId="10" xfId="0" applyFont="1" applyFill="1" applyBorder="1" applyAlignment="1">
      <alignment horizontal="center" vertical="center" wrapText="1"/>
    </xf>
    <xf numFmtId="0" fontId="120" fillId="3" borderId="7" xfId="0" applyFont="1" applyFill="1" applyBorder="1" applyAlignment="1" applyProtection="1">
      <alignment horizontal="center" vertical="center" wrapText="1"/>
      <protection locked="0" hidden="1"/>
    </xf>
    <xf numFmtId="0" fontId="122" fillId="2" borderId="9" xfId="0" applyFont="1" applyFill="1" applyBorder="1" applyAlignment="1" applyProtection="1">
      <alignment horizontal="right" vertical="center" wrapText="1"/>
      <protection hidden="1"/>
    </xf>
    <xf numFmtId="0" fontId="122" fillId="2" borderId="49" xfId="0" applyFont="1" applyFill="1" applyBorder="1" applyAlignment="1" applyProtection="1">
      <alignment horizontal="right" vertical="center" wrapText="1"/>
      <protection hidden="1"/>
    </xf>
    <xf numFmtId="0" fontId="129" fillId="2" borderId="49" xfId="0" applyFont="1" applyFill="1" applyBorder="1" applyAlignment="1">
      <alignment horizontal="right" vertical="center" wrapText="1"/>
    </xf>
    <xf numFmtId="0" fontId="120" fillId="2" borderId="49" xfId="0" applyFont="1" applyFill="1" applyBorder="1" applyAlignment="1" applyProtection="1">
      <alignment horizontal="center" vertical="center" wrapText="1"/>
      <protection locked="0" hidden="1"/>
    </xf>
    <xf numFmtId="170" fontId="128" fillId="2" borderId="49" xfId="0" applyNumberFormat="1" applyFont="1" applyFill="1" applyBorder="1" applyAlignment="1" applyProtection="1">
      <alignment horizontal="center" vertical="center" wrapText="1"/>
      <protection locked="0" hidden="1"/>
    </xf>
    <xf numFmtId="0" fontId="128" fillId="4" borderId="7" xfId="0" applyFont="1" applyFill="1" applyBorder="1" applyAlignment="1" applyProtection="1">
      <alignment horizontal="center" vertical="center" wrapText="1"/>
      <protection hidden="1"/>
    </xf>
    <xf numFmtId="0" fontId="133" fillId="0" borderId="7" xfId="0" applyFont="1" applyFill="1" applyBorder="1" applyAlignment="1" applyProtection="1">
      <alignment horizontal="center" vertical="center" wrapText="1"/>
      <protection hidden="1"/>
    </xf>
    <xf numFmtId="0" fontId="134" fillId="3" borderId="0" xfId="0" applyFont="1" applyFill="1" applyAlignment="1" applyProtection="1">
      <alignment horizontal="center" vertical="center" wrapText="1"/>
      <protection hidden="1"/>
    </xf>
    <xf numFmtId="0" fontId="125" fillId="2" borderId="7" xfId="0" applyFont="1" applyFill="1" applyBorder="1" applyAlignment="1" applyProtection="1">
      <alignment horizontal="center" vertical="center" wrapText="1"/>
      <protection hidden="1"/>
    </xf>
    <xf numFmtId="0" fontId="120" fillId="10" borderId="28" xfId="0" applyFont="1" applyFill="1" applyBorder="1" applyAlignment="1" applyProtection="1">
      <alignment horizontal="center" vertical="center" wrapText="1"/>
      <protection hidden="1"/>
    </xf>
    <xf numFmtId="0" fontId="120" fillId="10" borderId="8" xfId="0" applyFont="1" applyFill="1" applyBorder="1" applyAlignment="1" applyProtection="1">
      <alignment horizontal="center" vertical="center" wrapText="1"/>
      <protection hidden="1"/>
    </xf>
    <xf numFmtId="0" fontId="120" fillId="10" borderId="38" xfId="0" applyFont="1" applyFill="1" applyBorder="1" applyAlignment="1" applyProtection="1">
      <alignment horizontal="center" vertical="center" wrapText="1"/>
      <protection hidden="1"/>
    </xf>
    <xf numFmtId="0" fontId="130" fillId="2" borderId="0" xfId="0" applyFont="1" applyFill="1" applyBorder="1" applyAlignment="1" applyProtection="1">
      <alignment horizontal="center" vertical="center" wrapText="1"/>
      <protection hidden="1"/>
    </xf>
    <xf numFmtId="0" fontId="130" fillId="2" borderId="27" xfId="0" applyFont="1" applyFill="1" applyBorder="1" applyAlignment="1" applyProtection="1">
      <alignment horizontal="center" vertical="center" wrapText="1"/>
      <protection hidden="1"/>
    </xf>
    <xf numFmtId="0" fontId="133" fillId="4" borderId="7" xfId="0" applyFont="1" applyFill="1" applyBorder="1" applyAlignment="1">
      <alignment horizontal="center" vertical="center" wrapText="1"/>
    </xf>
    <xf numFmtId="0" fontId="133" fillId="4" borderId="7" xfId="0" applyFont="1" applyFill="1" applyBorder="1" applyAlignment="1" applyProtection="1">
      <alignment horizontal="center" vertical="center" wrapText="1"/>
      <protection hidden="1"/>
    </xf>
    <xf numFmtId="0" fontId="133" fillId="15" borderId="0" xfId="0" applyFont="1" applyFill="1" applyBorder="1" applyAlignment="1" applyProtection="1">
      <alignment horizontal="center" vertical="center" wrapText="1"/>
      <protection hidden="1"/>
    </xf>
    <xf numFmtId="0" fontId="130" fillId="2" borderId="28" xfId="0" applyFont="1" applyFill="1" applyBorder="1" applyAlignment="1" applyProtection="1">
      <alignment horizontal="center" vertical="center" wrapText="1"/>
      <protection hidden="1"/>
    </xf>
    <xf numFmtId="0" fontId="130" fillId="2" borderId="38" xfId="0" applyFont="1" applyFill="1" applyBorder="1" applyAlignment="1" applyProtection="1">
      <alignment horizontal="center" vertical="center" wrapText="1"/>
      <protection hidden="1"/>
    </xf>
    <xf numFmtId="0" fontId="138" fillId="2" borderId="7" xfId="0" applyFont="1" applyFill="1" applyBorder="1" applyAlignment="1" applyProtection="1">
      <alignment horizontal="center" vertical="center" wrapText="1"/>
      <protection hidden="1"/>
    </xf>
    <xf numFmtId="0" fontId="136" fillId="0" borderId="8" xfId="0" applyFont="1" applyFill="1" applyBorder="1" applyAlignment="1" applyProtection="1">
      <alignment horizontal="center" vertical="center" wrapText="1"/>
      <protection hidden="1"/>
    </xf>
    <xf numFmtId="0" fontId="136" fillId="0" borderId="7" xfId="0" applyFont="1" applyFill="1" applyBorder="1" applyAlignment="1" applyProtection="1">
      <alignment horizontal="center" vertical="center" wrapText="1"/>
      <protection hidden="1"/>
    </xf>
    <xf numFmtId="0" fontId="134" fillId="3" borderId="38" xfId="0" applyFont="1" applyFill="1" applyBorder="1" applyAlignment="1">
      <alignment horizontal="center" vertical="center" wrapText="1"/>
    </xf>
    <xf numFmtId="0" fontId="130" fillId="0" borderId="7" xfId="0" applyFont="1" applyBorder="1" applyAlignment="1">
      <alignment horizontal="center" vertical="center" wrapText="1"/>
    </xf>
    <xf numFmtId="0" fontId="122" fillId="0" borderId="93" xfId="0" applyFont="1" applyBorder="1" applyAlignment="1" applyProtection="1">
      <alignment horizontal="center" vertical="center"/>
      <protection hidden="1"/>
    </xf>
    <xf numFmtId="0" fontId="129" fillId="0" borderId="93" xfId="0" applyFont="1" applyFill="1" applyBorder="1" applyAlignment="1" applyProtection="1">
      <alignment horizontal="right" vertical="center"/>
      <protection hidden="1"/>
    </xf>
    <xf numFmtId="0" fontId="129" fillId="0" borderId="94" xfId="0" quotePrefix="1" applyFont="1" applyFill="1" applyBorder="1" applyAlignment="1" applyProtection="1">
      <alignment horizontal="center" vertical="center"/>
      <protection hidden="1"/>
    </xf>
    <xf numFmtId="0" fontId="129" fillId="0" borderId="95" xfId="0" applyFont="1" applyFill="1" applyBorder="1" applyAlignment="1" applyProtection="1">
      <alignment horizontal="left" vertical="center"/>
      <protection hidden="1"/>
    </xf>
    <xf numFmtId="0" fontId="118" fillId="2" borderId="11" xfId="0" applyFont="1" applyFill="1" applyBorder="1" applyAlignment="1" applyProtection="1">
      <alignment horizontal="center" vertical="center"/>
      <protection hidden="1"/>
    </xf>
    <xf numFmtId="0" fontId="118" fillId="2" borderId="12" xfId="0" applyFont="1" applyFill="1" applyBorder="1" applyAlignment="1" applyProtection="1">
      <alignment horizontal="center" vertical="center"/>
      <protection hidden="1"/>
    </xf>
    <xf numFmtId="2" fontId="139" fillId="0" borderId="94" xfId="0" applyNumberFormat="1" applyFont="1" applyBorder="1" applyAlignment="1" applyProtection="1">
      <alignment horizontal="center" vertical="center"/>
      <protection hidden="1"/>
    </xf>
    <xf numFmtId="0" fontId="137" fillId="2" borderId="58" xfId="0" applyFont="1" applyFill="1" applyBorder="1" applyAlignment="1" applyProtection="1">
      <alignment horizontal="center" vertical="center"/>
      <protection hidden="1"/>
    </xf>
    <xf numFmtId="170" fontId="122" fillId="9" borderId="0" xfId="0" applyNumberFormat="1" applyFont="1" applyFill="1" applyBorder="1" applyAlignment="1" applyProtection="1">
      <alignment horizontal="center" vertical="center"/>
      <protection hidden="1"/>
    </xf>
    <xf numFmtId="170" fontId="122" fillId="9" borderId="11" xfId="0" applyNumberFormat="1" applyFont="1" applyFill="1" applyBorder="1" applyAlignment="1" applyProtection="1">
      <alignment horizontal="center" vertical="center"/>
      <protection hidden="1"/>
    </xf>
    <xf numFmtId="170" fontId="122" fillId="9" borderId="12" xfId="0" applyNumberFormat="1" applyFont="1" applyFill="1" applyBorder="1" applyAlignment="1" applyProtection="1">
      <alignment horizontal="center" vertical="center"/>
      <protection hidden="1"/>
    </xf>
    <xf numFmtId="170" fontId="128" fillId="9" borderId="11" xfId="0" applyNumberFormat="1" applyFont="1" applyFill="1" applyBorder="1" applyAlignment="1" applyProtection="1">
      <alignment horizontal="center" vertical="center"/>
      <protection locked="0" hidden="1"/>
    </xf>
    <xf numFmtId="170" fontId="128" fillId="9" borderId="58" xfId="0" applyNumberFormat="1" applyFont="1" applyFill="1" applyBorder="1" applyAlignment="1" applyProtection="1">
      <alignment horizontal="center" vertical="center"/>
      <protection hidden="1"/>
    </xf>
    <xf numFmtId="170" fontId="126" fillId="9" borderId="58" xfId="0" applyNumberFormat="1" applyFont="1" applyFill="1" applyBorder="1" applyAlignment="1" applyProtection="1">
      <alignment horizontal="center" vertical="center"/>
      <protection hidden="1"/>
    </xf>
    <xf numFmtId="170" fontId="122" fillId="9" borderId="96" xfId="0" applyNumberFormat="1" applyFont="1" applyFill="1" applyBorder="1" applyAlignment="1" applyProtection="1">
      <alignment horizontal="center" vertical="center"/>
      <protection hidden="1"/>
    </xf>
    <xf numFmtId="170" fontId="122" fillId="0" borderId="97" xfId="0" applyNumberFormat="1" applyFont="1" applyFill="1" applyBorder="1" applyAlignment="1">
      <alignment horizontal="center" vertical="center"/>
    </xf>
    <xf numFmtId="2" fontId="125" fillId="0" borderId="98" xfId="0" applyNumberFormat="1" applyFont="1" applyBorder="1" applyAlignment="1">
      <alignment horizontal="center" vertical="center"/>
    </xf>
    <xf numFmtId="0" fontId="122" fillId="0" borderId="53" xfId="0" applyFont="1" applyBorder="1" applyAlignment="1" applyProtection="1">
      <alignment horizontal="center" vertical="center"/>
      <protection hidden="1"/>
    </xf>
    <xf numFmtId="0" fontId="129" fillId="0" borderId="53" xfId="0" applyFont="1" applyFill="1" applyBorder="1" applyAlignment="1" applyProtection="1">
      <alignment horizontal="right" vertical="center"/>
      <protection hidden="1"/>
    </xf>
    <xf numFmtId="0" fontId="129" fillId="0" borderId="3" xfId="0" quotePrefix="1" applyFont="1" applyFill="1" applyBorder="1" applyAlignment="1" applyProtection="1">
      <alignment horizontal="center" vertical="center"/>
      <protection hidden="1"/>
    </xf>
    <xf numFmtId="0" fontId="129" fillId="0" borderId="99" xfId="0" applyFont="1" applyFill="1" applyBorder="1" applyAlignment="1" applyProtection="1">
      <alignment horizontal="left" vertical="center"/>
      <protection hidden="1"/>
    </xf>
    <xf numFmtId="0" fontId="118" fillId="2" borderId="0" xfId="0" applyFont="1" applyFill="1" applyBorder="1" applyAlignment="1" applyProtection="1">
      <alignment horizontal="center" vertical="center"/>
      <protection hidden="1"/>
    </xf>
    <xf numFmtId="0" fontId="118" fillId="2" borderId="27" xfId="0" applyFont="1" applyFill="1" applyBorder="1" applyAlignment="1" applyProtection="1">
      <alignment horizontal="center" vertical="center"/>
      <protection hidden="1"/>
    </xf>
    <xf numFmtId="2" fontId="139" fillId="0" borderId="3" xfId="0" applyNumberFormat="1" applyFont="1" applyBorder="1" applyAlignment="1" applyProtection="1">
      <alignment horizontal="center" vertical="center"/>
      <protection hidden="1"/>
    </xf>
    <xf numFmtId="0" fontId="137" fillId="2" borderId="36" xfId="0" applyFont="1" applyFill="1" applyBorder="1" applyAlignment="1" applyProtection="1">
      <alignment horizontal="center" vertical="center"/>
      <protection hidden="1"/>
    </xf>
    <xf numFmtId="170" fontId="122" fillId="9" borderId="27" xfId="0" applyNumberFormat="1" applyFont="1" applyFill="1" applyBorder="1" applyAlignment="1" applyProtection="1">
      <alignment horizontal="center" vertical="center"/>
      <protection hidden="1"/>
    </xf>
    <xf numFmtId="170" fontId="128" fillId="9" borderId="36" xfId="0" applyNumberFormat="1" applyFont="1" applyFill="1" applyBorder="1" applyAlignment="1" applyProtection="1">
      <alignment horizontal="center" vertical="center"/>
      <protection hidden="1"/>
    </xf>
    <xf numFmtId="170" fontId="128" fillId="9" borderId="36" xfId="0" applyNumberFormat="1" applyFont="1" applyFill="1" applyBorder="1" applyAlignment="1" applyProtection="1">
      <alignment horizontal="center" vertical="center"/>
      <protection locked="0" hidden="1"/>
    </xf>
    <xf numFmtId="170" fontId="126" fillId="9" borderId="36" xfId="0" applyNumberFormat="1" applyFont="1" applyFill="1" applyBorder="1" applyAlignment="1" applyProtection="1">
      <alignment horizontal="center" vertical="center"/>
      <protection hidden="1"/>
    </xf>
    <xf numFmtId="170" fontId="122" fillId="9" borderId="100" xfId="0" applyNumberFormat="1" applyFont="1" applyFill="1" applyBorder="1" applyAlignment="1" applyProtection="1">
      <alignment horizontal="center" vertical="center"/>
      <protection hidden="1"/>
    </xf>
    <xf numFmtId="2" fontId="125" fillId="0" borderId="101" xfId="0" applyNumberFormat="1" applyFont="1" applyBorder="1" applyAlignment="1">
      <alignment horizontal="center" vertical="center"/>
    </xf>
    <xf numFmtId="0" fontId="133" fillId="0" borderId="53" xfId="0" applyFont="1" applyBorder="1" applyAlignment="1">
      <alignment horizontal="center" vertical="center"/>
    </xf>
    <xf numFmtId="0" fontId="129" fillId="0" borderId="3" xfId="0" applyFont="1" applyFill="1" applyBorder="1" applyAlignment="1" applyProtection="1">
      <alignment horizontal="center" vertical="center"/>
      <protection hidden="1"/>
    </xf>
    <xf numFmtId="0" fontId="94" fillId="0" borderId="7" xfId="0" applyFont="1" applyBorder="1" applyAlignment="1">
      <alignment horizontal="center"/>
    </xf>
    <xf numFmtId="0" fontId="125" fillId="2" borderId="8" xfId="0" applyFont="1" applyFill="1" applyBorder="1" applyAlignment="1" applyProtection="1">
      <alignment horizontal="right" vertical="center"/>
      <protection hidden="1"/>
    </xf>
    <xf numFmtId="170" fontId="142" fillId="17" borderId="9" xfId="0" applyNumberFormat="1" applyFont="1" applyFill="1" applyBorder="1" applyAlignment="1" applyProtection="1">
      <alignment horizontal="center" vertical="center" wrapText="1"/>
      <protection hidden="1"/>
    </xf>
    <xf numFmtId="176" fontId="120" fillId="18" borderId="7" xfId="0" applyNumberFormat="1" applyFont="1" applyFill="1" applyBorder="1" applyAlignment="1">
      <alignment horizontal="center" vertical="center" wrapText="1"/>
    </xf>
    <xf numFmtId="0" fontId="143" fillId="0" borderId="0" xfId="0" applyFont="1" applyAlignment="1">
      <alignment horizontal="center" vertical="center"/>
    </xf>
    <xf numFmtId="0" fontId="144" fillId="0" borderId="0" xfId="0" applyFont="1" applyAlignment="1">
      <alignment horizontal="center" vertical="center"/>
    </xf>
    <xf numFmtId="10" fontId="128" fillId="19" borderId="0" xfId="0" applyNumberFormat="1" applyFont="1" applyFill="1" applyBorder="1" applyAlignment="1" applyProtection="1">
      <alignment horizontal="center" vertical="center" wrapText="1"/>
      <protection hidden="1"/>
    </xf>
    <xf numFmtId="0" fontId="94" fillId="20" borderId="0" xfId="0" applyFont="1" applyFill="1" applyBorder="1" applyAlignment="1">
      <alignment horizontal="center"/>
    </xf>
    <xf numFmtId="0" fontId="94" fillId="20" borderId="37" xfId="0" applyFont="1" applyFill="1" applyBorder="1" applyAlignment="1">
      <alignment horizontal="center"/>
    </xf>
    <xf numFmtId="0" fontId="94" fillId="20" borderId="29" xfId="0" applyFont="1" applyFill="1" applyBorder="1" applyAlignment="1">
      <alignment horizontal="center"/>
    </xf>
    <xf numFmtId="0" fontId="94" fillId="20" borderId="46" xfId="0" applyFont="1" applyFill="1" applyBorder="1"/>
    <xf numFmtId="0" fontId="94" fillId="20" borderId="41" xfId="0" applyFont="1" applyFill="1" applyBorder="1"/>
    <xf numFmtId="0" fontId="94" fillId="20" borderId="0" xfId="0" applyFont="1" applyFill="1" applyBorder="1"/>
    <xf numFmtId="0" fontId="94" fillId="20" borderId="37" xfId="0" applyFont="1" applyFill="1" applyBorder="1"/>
    <xf numFmtId="168" fontId="94" fillId="20" borderId="37" xfId="0" applyNumberFormat="1" applyFont="1" applyFill="1" applyBorder="1"/>
    <xf numFmtId="0" fontId="0" fillId="10" borderId="104" xfId="0" applyFill="1" applyBorder="1"/>
    <xf numFmtId="0" fontId="0" fillId="10" borderId="45" xfId="0" applyFill="1" applyBorder="1"/>
    <xf numFmtId="0" fontId="0" fillId="10" borderId="35" xfId="0" applyFill="1" applyBorder="1"/>
    <xf numFmtId="0" fontId="0" fillId="20" borderId="100" xfId="0" applyFill="1" applyBorder="1"/>
    <xf numFmtId="0" fontId="94" fillId="10" borderId="66" xfId="0" applyFont="1" applyFill="1" applyBorder="1"/>
    <xf numFmtId="0" fontId="97" fillId="5" borderId="102" xfId="0" applyFont="1" applyFill="1" applyBorder="1"/>
    <xf numFmtId="0" fontId="94" fillId="20" borderId="66" xfId="0" applyFont="1" applyFill="1" applyBorder="1"/>
    <xf numFmtId="0" fontId="97" fillId="10" borderId="66" xfId="0" applyFont="1" applyFill="1" applyBorder="1"/>
    <xf numFmtId="0" fontId="96" fillId="0" borderId="102" xfId="0" applyFont="1" applyBorder="1" applyAlignment="1">
      <alignment horizontal="right" vertical="center"/>
    </xf>
    <xf numFmtId="0" fontId="94" fillId="20" borderId="107" xfId="0" applyFont="1" applyFill="1" applyBorder="1"/>
    <xf numFmtId="0" fontId="118" fillId="20" borderId="100" xfId="0" applyFont="1" applyFill="1" applyBorder="1" applyAlignment="1">
      <alignment horizontal="center" wrapText="1"/>
    </xf>
    <xf numFmtId="0" fontId="152" fillId="20" borderId="37" xfId="0" applyFont="1" applyFill="1" applyBorder="1" applyAlignment="1">
      <alignment horizontal="center"/>
    </xf>
    <xf numFmtId="0" fontId="152" fillId="20" borderId="37" xfId="0" applyFont="1" applyFill="1" applyBorder="1" applyAlignment="1">
      <alignment horizontal="center" vertical="top"/>
    </xf>
    <xf numFmtId="0" fontId="146" fillId="20" borderId="0" xfId="0" applyFont="1" applyFill="1" applyBorder="1" applyAlignment="1">
      <alignment horizontal="left" vertical="center"/>
    </xf>
    <xf numFmtId="49" fontId="151" fillId="20" borderId="92" xfId="0" applyNumberFormat="1" applyFont="1" applyFill="1" applyBorder="1" applyAlignment="1">
      <alignment horizontal="right" vertical="top" wrapText="1"/>
    </xf>
    <xf numFmtId="49" fontId="151" fillId="20" borderId="91" xfId="0" applyNumberFormat="1" applyFont="1" applyFill="1" applyBorder="1" applyAlignment="1">
      <alignment horizontal="right" vertical="top" wrapText="1"/>
    </xf>
    <xf numFmtId="0" fontId="150" fillId="19" borderId="58" xfId="0" applyFont="1" applyFill="1" applyBorder="1" applyAlignment="1">
      <alignment horizontal="center" vertical="center" wrapText="1"/>
    </xf>
    <xf numFmtId="10" fontId="117" fillId="19" borderId="55" xfId="0" applyNumberFormat="1" applyFont="1" applyFill="1" applyBorder="1" applyAlignment="1">
      <alignment horizontal="center" vertical="center" wrapText="1"/>
    </xf>
    <xf numFmtId="0" fontId="150" fillId="19" borderId="18" xfId="0" applyFont="1" applyFill="1" applyBorder="1" applyAlignment="1">
      <alignment horizontal="center" vertical="center" wrapText="1"/>
    </xf>
    <xf numFmtId="10" fontId="117" fillId="19" borderId="28" xfId="0" applyNumberFormat="1" applyFont="1" applyFill="1" applyBorder="1" applyAlignment="1">
      <alignment horizontal="center" vertical="center" wrapText="1"/>
    </xf>
    <xf numFmtId="10" fontId="104" fillId="3" borderId="113" xfId="0" applyNumberFormat="1" applyFont="1" applyFill="1" applyBorder="1" applyAlignment="1">
      <alignment horizontal="center" vertical="center"/>
    </xf>
    <xf numFmtId="0" fontId="94" fillId="3" borderId="42" xfId="0" applyFont="1" applyFill="1" applyBorder="1" applyAlignment="1">
      <alignment horizontal="center"/>
    </xf>
    <xf numFmtId="0" fontId="86" fillId="19" borderId="66" xfId="0" applyFont="1" applyFill="1" applyBorder="1" applyAlignment="1"/>
    <xf numFmtId="0" fontId="86" fillId="19" borderId="0" xfId="0" applyFont="1" applyFill="1" applyBorder="1" applyAlignment="1"/>
    <xf numFmtId="0" fontId="95" fillId="19" borderId="37" xfId="0" applyFont="1" applyFill="1" applyBorder="1" applyAlignment="1"/>
    <xf numFmtId="0" fontId="153" fillId="11" borderId="63" xfId="0" applyFont="1" applyFill="1" applyBorder="1" applyAlignment="1">
      <alignment horizontal="right" vertical="center"/>
    </xf>
    <xf numFmtId="0" fontId="155" fillId="0" borderId="0" xfId="0" applyFont="1"/>
    <xf numFmtId="176" fontId="94" fillId="0" borderId="0" xfId="0" applyNumberFormat="1" applyFont="1" applyAlignment="1">
      <alignment horizontal="center" vertical="center"/>
    </xf>
    <xf numFmtId="0" fontId="156" fillId="22" borderId="117" xfId="0" applyFont="1" applyFill="1" applyBorder="1"/>
    <xf numFmtId="177" fontId="156" fillId="0" borderId="118" xfId="0" applyNumberFormat="1" applyFont="1" applyBorder="1" applyAlignment="1">
      <alignment horizontal="center" vertical="center"/>
    </xf>
    <xf numFmtId="177" fontId="156" fillId="0" borderId="118" xfId="0" applyNumberFormat="1" applyFont="1" applyBorder="1" applyAlignment="1">
      <alignment horizontal="center"/>
    </xf>
    <xf numFmtId="177" fontId="156" fillId="0" borderId="119" xfId="0" applyNumberFormat="1" applyFont="1" applyBorder="1" applyAlignment="1">
      <alignment horizontal="center"/>
    </xf>
    <xf numFmtId="0" fontId="156" fillId="22" borderId="120" xfId="0" applyFont="1" applyFill="1" applyBorder="1"/>
    <xf numFmtId="176" fontId="156" fillId="0" borderId="121" xfId="0" applyNumberFormat="1" applyFont="1" applyBorder="1" applyAlignment="1">
      <alignment horizontal="center" vertical="center"/>
    </xf>
    <xf numFmtId="176" fontId="156" fillId="0" borderId="122" xfId="0" applyNumberFormat="1" applyFont="1" applyBorder="1" applyAlignment="1">
      <alignment horizontal="center" vertical="center"/>
    </xf>
    <xf numFmtId="0" fontId="157" fillId="19" borderId="120" xfId="0" applyFont="1" applyFill="1" applyBorder="1"/>
    <xf numFmtId="176" fontId="157" fillId="19" borderId="121" xfId="0" applyNumberFormat="1" applyFont="1" applyFill="1" applyBorder="1" applyAlignment="1">
      <alignment horizontal="center" vertical="center"/>
    </xf>
    <xf numFmtId="176" fontId="157" fillId="19" borderId="122" xfId="0" applyNumberFormat="1" applyFont="1" applyFill="1" applyBorder="1" applyAlignment="1">
      <alignment horizontal="center" vertical="center"/>
    </xf>
    <xf numFmtId="0" fontId="0" fillId="22" borderId="121" xfId="0" applyFill="1" applyBorder="1"/>
    <xf numFmtId="0" fontId="0" fillId="22" borderId="122" xfId="0" applyFill="1" applyBorder="1"/>
    <xf numFmtId="0" fontId="157" fillId="19" borderId="123" xfId="0" applyFont="1" applyFill="1" applyBorder="1"/>
    <xf numFmtId="176" fontId="157" fillId="19" borderId="124" xfId="0" applyNumberFormat="1" applyFont="1" applyFill="1" applyBorder="1" applyAlignment="1">
      <alignment horizontal="center" vertical="center"/>
    </xf>
    <xf numFmtId="0" fontId="0" fillId="22" borderId="124" xfId="0" applyFill="1" applyBorder="1"/>
    <xf numFmtId="0" fontId="148" fillId="0" borderId="125" xfId="0" applyFont="1" applyBorder="1" applyAlignment="1">
      <alignment horizontal="center"/>
    </xf>
    <xf numFmtId="0" fontId="148" fillId="0" borderId="126" xfId="0" applyFont="1" applyBorder="1" applyAlignment="1">
      <alignment horizontal="center" vertical="center"/>
    </xf>
    <xf numFmtId="0" fontId="148" fillId="0" borderId="127" xfId="0" applyFont="1" applyBorder="1" applyAlignment="1">
      <alignment horizontal="center" vertical="center"/>
    </xf>
    <xf numFmtId="2" fontId="159" fillId="0" borderId="118" xfId="0" applyNumberFormat="1" applyFont="1" applyBorder="1" applyAlignment="1">
      <alignment horizontal="center"/>
    </xf>
    <xf numFmtId="2" fontId="159" fillId="0" borderId="121" xfId="0" applyNumberFormat="1" applyFont="1" applyBorder="1" applyAlignment="1">
      <alignment horizontal="center"/>
    </xf>
    <xf numFmtId="2" fontId="160" fillId="19" borderId="121" xfId="0" applyNumberFormat="1" applyFont="1" applyFill="1" applyBorder="1" applyAlignment="1">
      <alignment horizontal="center"/>
    </xf>
    <xf numFmtId="2" fontId="160" fillId="19" borderId="124" xfId="0" applyNumberFormat="1" applyFont="1" applyFill="1" applyBorder="1" applyAlignment="1">
      <alignment horizontal="center"/>
    </xf>
    <xf numFmtId="0" fontId="159" fillId="0" borderId="118" xfId="0" applyFont="1" applyBorder="1" applyAlignment="1">
      <alignment horizontal="center" vertical="center"/>
    </xf>
    <xf numFmtId="2" fontId="159" fillId="0" borderId="121" xfId="0" applyNumberFormat="1" applyFont="1" applyBorder="1" applyAlignment="1">
      <alignment horizontal="center" vertical="center"/>
    </xf>
    <xf numFmtId="2" fontId="160" fillId="19" borderId="121" xfId="0" applyNumberFormat="1" applyFont="1" applyFill="1" applyBorder="1" applyAlignment="1">
      <alignment horizontal="center" vertical="center"/>
    </xf>
    <xf numFmtId="0" fontId="159" fillId="0" borderId="118" xfId="0" applyFont="1" applyBorder="1"/>
    <xf numFmtId="0" fontId="161" fillId="0" borderId="126" xfId="0" applyFont="1" applyBorder="1" applyAlignment="1">
      <alignment horizontal="center" vertical="center"/>
    </xf>
    <xf numFmtId="0" fontId="163" fillId="17" borderId="7" xfId="0" applyFont="1" applyFill="1" applyBorder="1" applyAlignment="1" applyProtection="1">
      <alignment horizontal="center" vertical="center" wrapText="1"/>
      <protection hidden="1"/>
    </xf>
    <xf numFmtId="7" fontId="165" fillId="20" borderId="100" xfId="3" applyNumberFormat="1" applyFont="1" applyFill="1" applyBorder="1" applyAlignment="1">
      <alignment horizontal="center" vertical="center"/>
    </xf>
    <xf numFmtId="0" fontId="167" fillId="20" borderId="100" xfId="0" applyFont="1" applyFill="1" applyBorder="1" applyAlignment="1">
      <alignment horizontal="center" vertical="center"/>
    </xf>
    <xf numFmtId="0" fontId="168" fillId="20" borderId="100" xfId="0" applyFont="1" applyFill="1" applyBorder="1" applyAlignment="1">
      <alignment horizontal="center" vertical="center"/>
    </xf>
    <xf numFmtId="0" fontId="166" fillId="17" borderId="105" xfId="0" applyFont="1" applyFill="1" applyBorder="1" applyAlignment="1">
      <alignment horizontal="center" vertical="center"/>
    </xf>
    <xf numFmtId="0" fontId="149" fillId="21" borderId="75" xfId="0" applyFont="1" applyFill="1" applyBorder="1" applyAlignment="1">
      <alignment horizontal="center" vertical="center" wrapText="1"/>
    </xf>
    <xf numFmtId="0" fontId="149" fillId="21" borderId="77" xfId="0" applyFont="1" applyFill="1" applyBorder="1" applyAlignment="1">
      <alignment horizontal="center" vertical="center" wrapText="1"/>
    </xf>
    <xf numFmtId="0" fontId="94" fillId="4" borderId="110" xfId="0" applyFont="1" applyFill="1" applyBorder="1" applyAlignment="1">
      <alignment horizontal="center" vertical="center"/>
    </xf>
    <xf numFmtId="0" fontId="94" fillId="4" borderId="43" xfId="0" applyFont="1" applyFill="1" applyBorder="1" applyAlignment="1">
      <alignment horizontal="center" vertical="center"/>
    </xf>
    <xf numFmtId="0" fontId="94" fillId="4" borderId="111" xfId="0" applyFont="1" applyFill="1" applyBorder="1" applyAlignment="1">
      <alignment horizontal="center" vertical="center"/>
    </xf>
    <xf numFmtId="0" fontId="112" fillId="20" borderId="108" xfId="0" applyFont="1" applyFill="1" applyBorder="1" applyAlignment="1">
      <alignment horizontal="center" vertical="center" wrapText="1"/>
    </xf>
    <xf numFmtId="0" fontId="86" fillId="20" borderId="61" xfId="0" applyFont="1" applyFill="1" applyBorder="1" applyAlignment="1">
      <alignment horizontal="center" vertical="center" wrapText="1"/>
    </xf>
    <xf numFmtId="0" fontId="86" fillId="20" borderId="112" xfId="0" applyFont="1" applyFill="1" applyBorder="1" applyAlignment="1">
      <alignment horizontal="center" vertical="center" wrapText="1"/>
    </xf>
    <xf numFmtId="0" fontId="145" fillId="10" borderId="66" xfId="0" applyFont="1" applyFill="1" applyBorder="1" applyAlignment="1">
      <alignment wrapText="1"/>
    </xf>
    <xf numFmtId="0" fontId="145" fillId="10" borderId="91" xfId="0" applyFont="1" applyFill="1" applyBorder="1" applyAlignment="1">
      <alignment wrapText="1"/>
    </xf>
    <xf numFmtId="0" fontId="141" fillId="16" borderId="9" xfId="0" applyFont="1" applyFill="1" applyBorder="1" applyAlignment="1">
      <alignment horizontal="center" vertical="center"/>
    </xf>
    <xf numFmtId="0" fontId="118" fillId="16" borderId="10" xfId="0" applyFont="1" applyFill="1" applyBorder="1" applyAlignment="1">
      <alignment horizontal="center"/>
    </xf>
    <xf numFmtId="0" fontId="96" fillId="0" borderId="80" xfId="0" applyFont="1" applyBorder="1" applyAlignment="1">
      <alignment horizontal="center"/>
    </xf>
    <xf numFmtId="0" fontId="0" fillId="0" borderId="49" xfId="0" applyBorder="1" applyAlignment="1">
      <alignment horizontal="center"/>
    </xf>
    <xf numFmtId="0" fontId="0" fillId="0" borderId="69" xfId="0" applyBorder="1" applyAlignment="1">
      <alignment horizontal="center"/>
    </xf>
    <xf numFmtId="168" fontId="96" fillId="0" borderId="9" xfId="0" applyNumberFormat="1" applyFont="1" applyBorder="1" applyAlignment="1">
      <alignment horizontal="center" vertical="center"/>
    </xf>
    <xf numFmtId="168" fontId="96" fillId="0" borderId="10" xfId="0" applyNumberFormat="1" applyFont="1" applyBorder="1" applyAlignment="1">
      <alignment horizontal="center" vertical="center"/>
    </xf>
    <xf numFmtId="0" fontId="94" fillId="0" borderId="7" xfId="0" applyFont="1" applyBorder="1" applyAlignment="1">
      <alignment horizontal="center"/>
    </xf>
    <xf numFmtId="0" fontId="94" fillId="0" borderId="9" xfId="0" applyFont="1" applyBorder="1" applyAlignment="1">
      <alignment horizontal="center"/>
    </xf>
    <xf numFmtId="0" fontId="98" fillId="5" borderId="7" xfId="0" applyFont="1" applyFill="1" applyBorder="1" applyAlignment="1">
      <alignment horizontal="center"/>
    </xf>
    <xf numFmtId="0" fontId="99" fillId="5" borderId="7" xfId="0" applyFont="1" applyFill="1" applyBorder="1" applyAlignment="1">
      <alignment horizontal="center"/>
    </xf>
    <xf numFmtId="0" fontId="99" fillId="5" borderId="9" xfId="0" applyFont="1" applyFill="1" applyBorder="1" applyAlignment="1">
      <alignment horizontal="center"/>
    </xf>
    <xf numFmtId="0" fontId="140" fillId="10" borderId="92" xfId="0" applyFont="1" applyFill="1" applyBorder="1" applyAlignment="1">
      <alignment horizontal="right"/>
    </xf>
    <xf numFmtId="0" fontId="140" fillId="10" borderId="11" xfId="0" applyFont="1" applyFill="1" applyBorder="1" applyAlignment="1">
      <alignment horizontal="right"/>
    </xf>
    <xf numFmtId="0" fontId="146" fillId="20" borderId="106" xfId="0" applyFont="1" applyFill="1" applyBorder="1" applyAlignment="1">
      <alignment horizontal="center" vertical="top" wrapText="1"/>
    </xf>
    <xf numFmtId="0" fontId="147" fillId="20" borderId="106" xfId="0" applyFont="1" applyFill="1" applyBorder="1" applyAlignment="1">
      <alignment horizontal="center" vertical="top"/>
    </xf>
    <xf numFmtId="0" fontId="116" fillId="20" borderId="109" xfId="0" applyFont="1" applyFill="1" applyBorder="1" applyAlignment="1">
      <alignment horizontal="center" vertical="center" wrapText="1"/>
    </xf>
    <xf numFmtId="0" fontId="117" fillId="20" borderId="72" xfId="0" applyFont="1" applyFill="1" applyBorder="1" applyAlignment="1">
      <alignment horizontal="center" vertical="center" wrapText="1"/>
    </xf>
    <xf numFmtId="0" fontId="117" fillId="20" borderId="103" xfId="0" applyFont="1" applyFill="1" applyBorder="1" applyAlignment="1">
      <alignment horizontal="center" vertical="center" wrapText="1"/>
    </xf>
    <xf numFmtId="0" fontId="155" fillId="22" borderId="128" xfId="0" applyFont="1" applyFill="1" applyBorder="1" applyAlignment="1">
      <alignment horizontal="center" vertical="center" wrapText="1"/>
    </xf>
    <xf numFmtId="0" fontId="155" fillId="22" borderId="129" xfId="0" applyFont="1" applyFill="1" applyBorder="1" applyAlignment="1">
      <alignment horizontal="center" vertical="center" wrapText="1"/>
    </xf>
    <xf numFmtId="0" fontId="155" fillId="22" borderId="0" xfId="0" applyFont="1" applyFill="1" applyBorder="1" applyAlignment="1">
      <alignment horizontal="center" vertical="center" wrapText="1"/>
    </xf>
    <xf numFmtId="0" fontId="155" fillId="22" borderId="130" xfId="0" applyFont="1" applyFill="1" applyBorder="1" applyAlignment="1">
      <alignment horizontal="center" vertical="center" wrapText="1"/>
    </xf>
    <xf numFmtId="0" fontId="155" fillId="22" borderId="8" xfId="0" applyFont="1" applyFill="1" applyBorder="1" applyAlignment="1">
      <alignment horizontal="center" vertical="center" wrapText="1"/>
    </xf>
    <xf numFmtId="0" fontId="155" fillId="22" borderId="38" xfId="0" applyFont="1" applyFill="1" applyBorder="1" applyAlignment="1">
      <alignment horizontal="center" vertical="center" wrapText="1"/>
    </xf>
    <xf numFmtId="0" fontId="158" fillId="23" borderId="114" xfId="0" applyFont="1" applyFill="1" applyBorder="1" applyAlignment="1">
      <alignment horizontal="center"/>
    </xf>
    <xf numFmtId="0" fontId="158" fillId="23" borderId="115" xfId="0" applyFont="1" applyFill="1" applyBorder="1" applyAlignment="1">
      <alignment horizontal="center"/>
    </xf>
    <xf numFmtId="0" fontId="158" fillId="23" borderId="116" xfId="0" applyFont="1" applyFill="1" applyBorder="1" applyAlignment="1">
      <alignment horizontal="center"/>
    </xf>
    <xf numFmtId="0" fontId="7" fillId="0" borderId="0" xfId="0" applyFont="1" applyAlignment="1"/>
    <xf numFmtId="0" fontId="0" fillId="0" borderId="0" xfId="0" applyAlignment="1"/>
    <xf numFmtId="0" fontId="23" fillId="0" borderId="84" xfId="0" applyFont="1" applyBorder="1" applyAlignment="1">
      <alignment horizontal="left"/>
    </xf>
    <xf numFmtId="0" fontId="23" fillId="0" borderId="85" xfId="0" applyFont="1" applyBorder="1" applyAlignment="1">
      <alignment horizontal="left"/>
    </xf>
    <xf numFmtId="0" fontId="0" fillId="0" borderId="85" xfId="0" applyBorder="1" applyAlignment="1"/>
    <xf numFmtId="0" fontId="0" fillId="0" borderId="86" xfId="0" applyBorder="1" applyAlignment="1"/>
    <xf numFmtId="0" fontId="5" fillId="0" borderId="11" xfId="0" applyFont="1" applyBorder="1" applyAlignment="1">
      <alignment horizontal="center" vertical="center"/>
    </xf>
    <xf numFmtId="0" fontId="26" fillId="0" borderId="0" xfId="0" applyFont="1" applyBorder="1" applyAlignment="1"/>
    <xf numFmtId="0" fontId="4" fillId="0" borderId="0" xfId="0" applyFont="1" applyBorder="1" applyAlignment="1"/>
    <xf numFmtId="0" fontId="28" fillId="0" borderId="49" xfId="0" applyFont="1" applyFill="1" applyBorder="1" applyAlignment="1">
      <alignment horizontal="center" vertical="center"/>
    </xf>
    <xf numFmtId="0" fontId="0" fillId="0" borderId="49" xfId="0" applyBorder="1" applyAlignment="1">
      <alignment horizontal="center" vertical="center"/>
    </xf>
    <xf numFmtId="0" fontId="96" fillId="0" borderId="68" xfId="0" applyFont="1" applyBorder="1" applyAlignment="1">
      <alignment horizontal="center"/>
    </xf>
    <xf numFmtId="0" fontId="100" fillId="0" borderId="68" xfId="0" applyFont="1" applyBorder="1" applyAlignment="1">
      <alignment horizontal="center" vertical="center"/>
    </xf>
    <xf numFmtId="0" fontId="0" fillId="0" borderId="69" xfId="0" applyBorder="1" applyAlignment="1">
      <alignment horizontal="center" vertical="center"/>
    </xf>
    <xf numFmtId="168" fontId="96" fillId="0" borderId="68" xfId="0" applyNumberFormat="1" applyFont="1" applyBorder="1" applyAlignment="1">
      <alignment horizontal="center" vertical="center"/>
    </xf>
    <xf numFmtId="168" fontId="96" fillId="0" borderId="49" xfId="0" applyNumberFormat="1" applyFont="1" applyBorder="1" applyAlignment="1">
      <alignment horizontal="center" vertical="center"/>
    </xf>
    <xf numFmtId="168" fontId="96" fillId="0" borderId="69" xfId="0" applyNumberFormat="1" applyFont="1" applyBorder="1" applyAlignment="1">
      <alignment horizontal="center" vertical="center"/>
    </xf>
    <xf numFmtId="0" fontId="97" fillId="11" borderId="71" xfId="0" applyFont="1" applyFill="1" applyBorder="1" applyAlignment="1">
      <alignment horizontal="center" vertical="center"/>
    </xf>
    <xf numFmtId="0" fontId="0" fillId="0" borderId="72" xfId="0" applyBorder="1" applyAlignment="1">
      <alignment horizontal="center" vertical="center"/>
    </xf>
    <xf numFmtId="0" fontId="0" fillId="0" borderId="73" xfId="0" applyBorder="1" applyAlignment="1">
      <alignment horizontal="center" vertical="center"/>
    </xf>
    <xf numFmtId="0" fontId="99" fillId="5" borderId="10" xfId="0" applyFont="1" applyFill="1" applyBorder="1" applyAlignment="1">
      <alignment horizontal="center"/>
    </xf>
    <xf numFmtId="0" fontId="97" fillId="5" borderId="68" xfId="0" applyFont="1" applyFill="1" applyBorder="1" applyAlignment="1"/>
    <xf numFmtId="0" fontId="97" fillId="5" borderId="49" xfId="0" applyFont="1" applyFill="1" applyBorder="1" applyAlignment="1"/>
    <xf numFmtId="0" fontId="97" fillId="5" borderId="10" xfId="0" applyFont="1" applyFill="1" applyBorder="1" applyAlignment="1"/>
    <xf numFmtId="0" fontId="113" fillId="11" borderId="29" xfId="0" applyFont="1" applyFill="1" applyBorder="1" applyAlignment="1">
      <alignment horizontal="center" vertical="center" wrapText="1"/>
    </xf>
    <xf numFmtId="0" fontId="102" fillId="5" borderId="32" xfId="0" applyFont="1" applyFill="1" applyBorder="1" applyAlignment="1">
      <alignment vertical="center" wrapText="1"/>
    </xf>
    <xf numFmtId="0" fontId="102" fillId="5" borderId="74" xfId="0" applyFont="1" applyFill="1" applyBorder="1" applyAlignment="1">
      <alignment vertical="center" wrapText="1"/>
    </xf>
    <xf numFmtId="0" fontId="154" fillId="11" borderId="20" xfId="0" applyFont="1" applyFill="1" applyBorder="1" applyAlignment="1">
      <alignment horizontal="center" vertical="center" wrapText="1"/>
    </xf>
    <xf numFmtId="0" fontId="154" fillId="11" borderId="37" xfId="0" applyFont="1" applyFill="1" applyBorder="1" applyAlignment="1">
      <alignment horizontal="center" vertical="center" wrapText="1"/>
    </xf>
    <xf numFmtId="0" fontId="94" fillId="4" borderId="9" xfId="0" applyFont="1" applyFill="1" applyBorder="1" applyAlignment="1">
      <alignment horizontal="center" vertical="center" wrapText="1"/>
    </xf>
    <xf numFmtId="0" fontId="0" fillId="0" borderId="49" xfId="0" applyBorder="1" applyAlignment="1">
      <alignment horizontal="center" vertical="center" wrapText="1"/>
    </xf>
    <xf numFmtId="0" fontId="0" fillId="0" borderId="10" xfId="0" applyBorder="1" applyAlignment="1">
      <alignment horizontal="center" vertical="center" wrapText="1"/>
    </xf>
    <xf numFmtId="0" fontId="94" fillId="13" borderId="9" xfId="0" applyFont="1" applyFill="1" applyBorder="1" applyAlignment="1">
      <alignment horizontal="center" vertical="center" wrapText="1"/>
    </xf>
    <xf numFmtId="0" fontId="94" fillId="13" borderId="49" xfId="0" applyFont="1" applyFill="1" applyBorder="1" applyAlignment="1">
      <alignment horizontal="center" vertical="center" wrapText="1"/>
    </xf>
    <xf numFmtId="0" fontId="94" fillId="13" borderId="10" xfId="0" applyFont="1" applyFill="1" applyBorder="1" applyAlignment="1">
      <alignment horizontal="center" vertical="center" wrapText="1"/>
    </xf>
    <xf numFmtId="0" fontId="136" fillId="0" borderId="9" xfId="0" applyFont="1" applyFill="1" applyBorder="1" applyAlignment="1" applyProtection="1">
      <alignment horizontal="right" vertical="center" wrapText="1"/>
      <protection hidden="1"/>
    </xf>
    <xf numFmtId="0" fontId="118" fillId="0" borderId="49" xfId="0" applyFont="1" applyBorder="1" applyAlignment="1">
      <alignment horizontal="right" vertical="center" wrapText="1"/>
    </xf>
    <xf numFmtId="0" fontId="118" fillId="0" borderId="10" xfId="0" applyFont="1" applyBorder="1" applyAlignment="1">
      <alignment horizontal="right" vertical="center" wrapText="1"/>
    </xf>
    <xf numFmtId="0" fontId="164" fillId="17" borderId="9" xfId="0" applyFont="1" applyFill="1" applyBorder="1" applyAlignment="1">
      <alignment horizontal="center" vertical="center"/>
    </xf>
    <xf numFmtId="0" fontId="164" fillId="17" borderId="49" xfId="0" applyFont="1" applyFill="1" applyBorder="1" applyAlignment="1">
      <alignment horizontal="center" vertical="center"/>
    </xf>
    <xf numFmtId="0" fontId="164" fillId="17" borderId="10" xfId="0" applyFont="1" applyFill="1" applyBorder="1" applyAlignment="1">
      <alignment horizontal="center" vertical="center"/>
    </xf>
    <xf numFmtId="0" fontId="125" fillId="2" borderId="18" xfId="0" applyFont="1" applyFill="1" applyBorder="1" applyAlignment="1" applyProtection="1">
      <alignment horizontal="center" vertical="center" wrapText="1"/>
      <protection hidden="1"/>
    </xf>
    <xf numFmtId="0" fontId="135" fillId="0" borderId="11" xfId="0" applyFont="1" applyBorder="1" applyAlignment="1">
      <alignment vertical="center"/>
    </xf>
    <xf numFmtId="0" fontId="135" fillId="0" borderId="12" xfId="0" applyFont="1" applyBorder="1" applyAlignment="1">
      <alignment vertical="center"/>
    </xf>
    <xf numFmtId="0" fontId="135" fillId="0" borderId="28" xfId="0" applyFont="1" applyBorder="1" applyAlignment="1">
      <alignment vertical="center"/>
    </xf>
    <xf numFmtId="0" fontId="135" fillId="0" borderId="8" xfId="0" applyFont="1" applyBorder="1" applyAlignment="1">
      <alignment vertical="center"/>
    </xf>
    <xf numFmtId="0" fontId="135" fillId="0" borderId="38" xfId="0" applyFont="1" applyBorder="1" applyAlignment="1">
      <alignment vertical="center"/>
    </xf>
    <xf numFmtId="0" fontId="163" fillId="17" borderId="28" xfId="0" applyFont="1" applyFill="1" applyBorder="1" applyAlignment="1" applyProtection="1">
      <alignment horizontal="center" vertical="center" wrapText="1"/>
      <protection hidden="1"/>
    </xf>
    <xf numFmtId="0" fontId="140" fillId="17" borderId="8" xfId="0" applyFont="1" applyFill="1" applyBorder="1" applyAlignment="1"/>
    <xf numFmtId="0" fontId="118" fillId="2" borderId="58" xfId="0" applyFont="1" applyFill="1" applyBorder="1" applyAlignment="1"/>
    <xf numFmtId="0" fontId="118" fillId="2" borderId="36" xfId="0" applyFont="1" applyFill="1" applyBorder="1" applyAlignment="1"/>
    <xf numFmtId="0" fontId="122" fillId="0" borderId="92" xfId="0" applyFont="1" applyFill="1" applyBorder="1" applyAlignment="1" applyProtection="1">
      <alignment horizontal="right" vertical="center" wrapText="1"/>
      <protection hidden="1"/>
    </xf>
    <xf numFmtId="0" fontId="122" fillId="0" borderId="11" xfId="0" applyFont="1" applyFill="1" applyBorder="1" applyAlignment="1" applyProtection="1">
      <alignment horizontal="right" vertical="center" wrapText="1"/>
      <protection hidden="1"/>
    </xf>
    <xf numFmtId="0" fontId="129" fillId="0" borderId="11" xfId="0" applyFont="1" applyBorder="1" applyAlignment="1">
      <alignment horizontal="right" vertical="center" wrapText="1"/>
    </xf>
    <xf numFmtId="0" fontId="129" fillId="0" borderId="12" xfId="0" applyFont="1" applyBorder="1" applyAlignment="1">
      <alignment horizontal="right" vertical="center" wrapText="1"/>
    </xf>
    <xf numFmtId="0" fontId="125" fillId="0" borderId="9" xfId="0" applyFont="1" applyFill="1" applyBorder="1" applyAlignment="1" applyProtection="1">
      <alignment horizontal="center" vertical="center" wrapText="1"/>
      <protection hidden="1"/>
    </xf>
    <xf numFmtId="0" fontId="118" fillId="0" borderId="49" xfId="0" applyFont="1" applyBorder="1" applyAlignment="1">
      <alignment horizontal="center" vertical="center" wrapText="1"/>
    </xf>
    <xf numFmtId="0" fontId="118" fillId="0" borderId="10" xfId="0" applyFont="1" applyBorder="1" applyAlignment="1">
      <alignment horizontal="center" vertical="center" wrapText="1"/>
    </xf>
    <xf numFmtId="0" fontId="122" fillId="0" borderId="91" xfId="0" applyFont="1" applyBorder="1" applyAlignment="1" applyProtection="1">
      <alignment horizontal="right" vertical="center" wrapText="1"/>
      <protection hidden="1"/>
    </xf>
    <xf numFmtId="0" fontId="122" fillId="0" borderId="8" xfId="0" applyFont="1" applyBorder="1" applyAlignment="1" applyProtection="1">
      <alignment horizontal="right" vertical="center" wrapText="1"/>
      <protection hidden="1"/>
    </xf>
    <xf numFmtId="0" fontId="129" fillId="0" borderId="8" xfId="0" applyFont="1" applyBorder="1" applyAlignment="1">
      <alignment horizontal="right" vertical="center" wrapText="1"/>
    </xf>
    <xf numFmtId="0" fontId="129" fillId="0" borderId="38" xfId="0" applyFont="1" applyBorder="1" applyAlignment="1">
      <alignment horizontal="right" vertical="center" wrapText="1"/>
    </xf>
    <xf numFmtId="0" fontId="122" fillId="0" borderId="80" xfId="0" applyFont="1" applyFill="1" applyBorder="1" applyAlignment="1" applyProtection="1">
      <alignment horizontal="right" vertical="center" wrapText="1"/>
      <protection hidden="1"/>
    </xf>
    <xf numFmtId="0" fontId="122" fillId="0" borderId="49" xfId="0" applyFont="1" applyFill="1" applyBorder="1" applyAlignment="1" applyProtection="1">
      <alignment horizontal="right" vertical="center" wrapText="1"/>
      <protection hidden="1"/>
    </xf>
    <xf numFmtId="0" fontId="129" fillId="0" borderId="49" xfId="0" applyFont="1" applyBorder="1" applyAlignment="1">
      <alignment horizontal="right" vertical="center" wrapText="1"/>
    </xf>
    <xf numFmtId="0" fontId="129" fillId="0" borderId="10" xfId="0" applyFont="1" applyBorder="1" applyAlignment="1">
      <alignment horizontal="right" vertical="center" wrapText="1"/>
    </xf>
    <xf numFmtId="0" fontId="57" fillId="0" borderId="80" xfId="0" applyFont="1" applyFill="1" applyBorder="1" applyAlignment="1">
      <alignment horizontal="center" vertical="center" wrapText="1"/>
    </xf>
    <xf numFmtId="0" fontId="55" fillId="0" borderId="49" xfId="0" applyFont="1" applyBorder="1" applyAlignment="1"/>
    <xf numFmtId="0" fontId="55" fillId="0" borderId="8" xfId="0" applyFont="1" applyBorder="1" applyAlignment="1"/>
    <xf numFmtId="0" fontId="55" fillId="0" borderId="10" xfId="0" applyFont="1" applyBorder="1" applyAlignment="1"/>
    <xf numFmtId="0" fontId="130" fillId="0" borderId="7" xfId="0" applyFont="1" applyFill="1" applyBorder="1" applyAlignment="1" applyProtection="1">
      <alignment horizontal="left" vertical="center" wrapText="1"/>
      <protection hidden="1"/>
    </xf>
    <xf numFmtId="0" fontId="118" fillId="0" borderId="7" xfId="0" applyFont="1" applyBorder="1" applyAlignment="1"/>
    <xf numFmtId="0" fontId="122" fillId="0" borderId="28" xfId="0" applyFont="1" applyFill="1" applyBorder="1" applyAlignment="1" applyProtection="1">
      <alignment horizontal="center" vertical="center" wrapText="1"/>
      <protection hidden="1"/>
    </xf>
    <xf numFmtId="0" fontId="119" fillId="0" borderId="8" xfId="0" applyFont="1" applyBorder="1" applyAlignment="1">
      <alignment horizontal="center" vertical="center" wrapText="1"/>
    </xf>
    <xf numFmtId="0" fontId="119" fillId="0" borderId="38" xfId="0" applyFont="1" applyBorder="1" applyAlignment="1">
      <alignment horizontal="center" vertical="center" wrapText="1"/>
    </xf>
    <xf numFmtId="0" fontId="132" fillId="2" borderId="49" xfId="0" applyFont="1" applyFill="1" applyBorder="1" applyAlignment="1">
      <alignment vertical="center"/>
    </xf>
    <xf numFmtId="0" fontId="132" fillId="0" borderId="49" xfId="0" applyFont="1" applyBorder="1" applyAlignment="1">
      <alignment vertical="center"/>
    </xf>
    <xf numFmtId="0" fontId="121" fillId="0" borderId="18" xfId="0" applyFont="1" applyBorder="1" applyAlignment="1">
      <alignment horizontal="center" vertical="center" wrapText="1"/>
    </xf>
    <xf numFmtId="0" fontId="121" fillId="0" borderId="11" xfId="0" applyFont="1" applyBorder="1" applyAlignment="1">
      <alignment horizontal="center" vertical="center" wrapText="1"/>
    </xf>
    <xf numFmtId="0" fontId="121" fillId="0" borderId="12" xfId="0" applyFont="1" applyBorder="1" applyAlignment="1">
      <alignment horizontal="center" vertical="center" wrapText="1"/>
    </xf>
    <xf numFmtId="0" fontId="121" fillId="0" borderId="20" xfId="0" applyFont="1" applyBorder="1" applyAlignment="1">
      <alignment horizontal="center" vertical="center" wrapText="1"/>
    </xf>
    <xf numFmtId="0" fontId="121" fillId="0" borderId="0" xfId="0" applyFont="1" applyBorder="1" applyAlignment="1">
      <alignment horizontal="center" vertical="center" wrapText="1"/>
    </xf>
    <xf numFmtId="0" fontId="121" fillId="0" borderId="27" xfId="0" applyFont="1" applyBorder="1" applyAlignment="1">
      <alignment horizontal="center" vertical="center" wrapText="1"/>
    </xf>
    <xf numFmtId="0" fontId="121" fillId="0" borderId="28" xfId="0" applyFont="1" applyBorder="1" applyAlignment="1">
      <alignment horizontal="center" vertical="center" wrapText="1"/>
    </xf>
    <xf numFmtId="0" fontId="121" fillId="0" borderId="8" xfId="0" applyFont="1" applyBorder="1" applyAlignment="1">
      <alignment horizontal="center" vertical="center" wrapText="1"/>
    </xf>
    <xf numFmtId="0" fontId="121" fillId="0" borderId="38" xfId="0" applyFont="1" applyBorder="1" applyAlignment="1">
      <alignment horizontal="center" vertical="center" wrapText="1"/>
    </xf>
    <xf numFmtId="0" fontId="133" fillId="0" borderId="36" xfId="0" applyFont="1" applyFill="1" applyBorder="1" applyAlignment="1" applyProtection="1">
      <alignment horizontal="center" vertical="center" wrapText="1"/>
      <protection hidden="1"/>
    </xf>
    <xf numFmtId="0" fontId="133" fillId="0" borderId="20" xfId="0" applyFont="1" applyFill="1" applyBorder="1" applyAlignment="1" applyProtection="1">
      <alignment horizontal="center" vertical="center" wrapText="1"/>
      <protection hidden="1"/>
    </xf>
    <xf numFmtId="0" fontId="130" fillId="0" borderId="49" xfId="0" applyFont="1" applyFill="1" applyBorder="1" applyAlignment="1" applyProtection="1">
      <alignment horizontal="center" vertical="center" wrapText="1"/>
      <protection hidden="1"/>
    </xf>
    <xf numFmtId="0" fontId="130" fillId="0" borderId="10" xfId="0" applyFont="1" applyFill="1" applyBorder="1" applyAlignment="1" applyProtection="1">
      <alignment horizontal="center" vertical="center" wrapText="1"/>
      <protection hidden="1"/>
    </xf>
    <xf numFmtId="0" fontId="137" fillId="0" borderId="9" xfId="0" applyFont="1" applyFill="1" applyBorder="1" applyAlignment="1" applyProtection="1">
      <alignment horizontal="center" vertical="center" wrapText="1"/>
      <protection hidden="1"/>
    </xf>
    <xf numFmtId="0" fontId="137" fillId="0" borderId="49" xfId="0" applyFont="1" applyFill="1" applyBorder="1" applyAlignment="1" applyProtection="1">
      <alignment horizontal="center" vertical="center" wrapText="1"/>
      <protection hidden="1"/>
    </xf>
    <xf numFmtId="0" fontId="137" fillId="0" borderId="10" xfId="0" applyFont="1" applyFill="1" applyBorder="1" applyAlignment="1" applyProtection="1">
      <alignment horizontal="center" vertical="center" wrapText="1"/>
      <protection hidden="1"/>
    </xf>
    <xf numFmtId="0" fontId="122" fillId="0" borderId="9" xfId="0" applyFont="1" applyBorder="1" applyAlignment="1">
      <alignment horizontal="center" vertical="center"/>
    </xf>
    <xf numFmtId="0" fontId="122" fillId="0" borderId="49" xfId="0" applyFont="1" applyBorder="1" applyAlignment="1">
      <alignment horizontal="center" vertical="center"/>
    </xf>
    <xf numFmtId="0" fontId="122" fillId="0" borderId="10" xfId="0" applyFont="1" applyBorder="1" applyAlignment="1">
      <alignment horizontal="center" vertical="center"/>
    </xf>
    <xf numFmtId="0" fontId="126" fillId="0" borderId="27" xfId="0" applyFont="1" applyBorder="1" applyAlignment="1">
      <alignment horizontal="center" vertical="center" textRotation="90" wrapText="1"/>
    </xf>
    <xf numFmtId="0" fontId="129" fillId="0" borderId="27" xfId="0" applyFont="1" applyBorder="1" applyAlignment="1">
      <alignment horizontal="center" vertical="center" textRotation="90" wrapText="1"/>
    </xf>
    <xf numFmtId="0" fontId="129" fillId="0" borderId="36" xfId="0" applyFont="1" applyBorder="1" applyAlignment="1">
      <alignment horizontal="center" vertical="center" textRotation="90" wrapText="1"/>
    </xf>
    <xf numFmtId="0" fontId="129" fillId="0" borderId="55" xfId="0" applyFont="1" applyBorder="1" applyAlignment="1">
      <alignment horizontal="center" vertical="center" textRotation="90" wrapText="1"/>
    </xf>
    <xf numFmtId="0" fontId="126" fillId="0" borderId="36" xfId="0" applyFont="1" applyBorder="1" applyAlignment="1">
      <alignment horizontal="center" vertical="center" textRotation="90" wrapText="1"/>
    </xf>
    <xf numFmtId="0" fontId="131" fillId="0" borderId="7" xfId="0" applyFont="1" applyFill="1" applyBorder="1" applyAlignment="1" applyProtection="1">
      <alignment horizontal="center" vertical="center" wrapText="1"/>
      <protection hidden="1"/>
    </xf>
    <xf numFmtId="0" fontId="129" fillId="0" borderId="7" xfId="0" applyFont="1" applyBorder="1" applyAlignment="1">
      <alignment horizontal="center" vertical="center" wrapText="1"/>
    </xf>
    <xf numFmtId="0" fontId="89" fillId="2" borderId="28" xfId="0" applyFont="1" applyFill="1" applyBorder="1" applyAlignment="1">
      <alignment horizontal="center" vertical="center" wrapText="1"/>
    </xf>
    <xf numFmtId="0" fontId="0" fillId="0" borderId="38" xfId="0" applyBorder="1" applyAlignment="1">
      <alignment horizontal="center" vertical="center"/>
    </xf>
    <xf numFmtId="0" fontId="34" fillId="2" borderId="9" xfId="0" applyFont="1" applyFill="1" applyBorder="1" applyAlignment="1">
      <alignment horizontal="center" vertical="center" wrapText="1"/>
    </xf>
    <xf numFmtId="0" fontId="93" fillId="0" borderId="49" xfId="0" applyFont="1" applyBorder="1" applyAlignment="1">
      <alignment horizontal="center" vertical="center" wrapText="1"/>
    </xf>
    <xf numFmtId="0" fontId="93" fillId="0" borderId="10" xfId="0" applyFont="1" applyBorder="1" applyAlignment="1">
      <alignment horizontal="center" vertical="center" wrapText="1"/>
    </xf>
    <xf numFmtId="0" fontId="88" fillId="5" borderId="20" xfId="0" applyFont="1" applyFill="1" applyBorder="1" applyAlignment="1">
      <alignment horizontal="center" vertical="center" textRotation="90"/>
    </xf>
    <xf numFmtId="0" fontId="60" fillId="5" borderId="75" xfId="0" applyFont="1" applyFill="1" applyBorder="1" applyAlignment="1">
      <alignment horizontal="center" vertical="center" textRotation="90" wrapText="1"/>
    </xf>
    <xf numFmtId="0" fontId="87" fillId="0" borderId="76" xfId="0" applyFont="1" applyBorder="1" applyAlignment="1"/>
    <xf numFmtId="0" fontId="87" fillId="0" borderId="77" xfId="0" applyFont="1" applyBorder="1" applyAlignment="1"/>
    <xf numFmtId="0" fontId="27" fillId="0" borderId="9" xfId="0" applyFont="1" applyBorder="1" applyAlignment="1">
      <alignment horizontal="center" vertical="center" wrapText="1"/>
    </xf>
    <xf numFmtId="0" fontId="27" fillId="0" borderId="49" xfId="0" applyFont="1" applyBorder="1" applyAlignment="1">
      <alignment horizontal="center" vertical="center" wrapText="1"/>
    </xf>
    <xf numFmtId="0" fontId="27" fillId="0" borderId="10" xfId="0" applyFont="1" applyBorder="1" applyAlignment="1">
      <alignment horizontal="center" vertical="center" wrapText="1"/>
    </xf>
    <xf numFmtId="0" fontId="60" fillId="5" borderId="42" xfId="0" applyFont="1" applyFill="1" applyBorder="1" applyAlignment="1">
      <alignment horizontal="center" vertical="center" wrapText="1"/>
    </xf>
    <xf numFmtId="0" fontId="60" fillId="5" borderId="77" xfId="0" applyFont="1" applyFill="1" applyBorder="1" applyAlignment="1">
      <alignment horizontal="center" vertical="center" wrapText="1"/>
    </xf>
    <xf numFmtId="0" fontId="48" fillId="2" borderId="6" xfId="0" applyFont="1" applyFill="1" applyBorder="1" applyAlignment="1">
      <alignment horizontal="center" vertical="center" textRotation="90" wrapText="1"/>
    </xf>
    <xf numFmtId="0" fontId="50" fillId="0" borderId="28" xfId="0" applyFont="1" applyFill="1" applyBorder="1" applyAlignment="1">
      <alignment horizontal="center" vertical="center" wrapText="1"/>
    </xf>
    <xf numFmtId="0" fontId="50" fillId="0" borderId="18" xfId="0" applyFont="1" applyFill="1" applyBorder="1" applyAlignment="1">
      <alignment horizontal="center" vertical="center" wrapText="1"/>
    </xf>
    <xf numFmtId="0" fontId="53" fillId="3" borderId="78" xfId="0" applyFont="1" applyFill="1" applyBorder="1" applyAlignment="1">
      <alignment horizontal="center" vertical="center"/>
    </xf>
    <xf numFmtId="0" fontId="53" fillId="3" borderId="79" xfId="0" applyFont="1" applyFill="1" applyBorder="1" applyAlignment="1">
      <alignment horizontal="center" vertical="center"/>
    </xf>
    <xf numFmtId="0" fontId="47" fillId="2" borderId="75" xfId="0" applyFont="1" applyFill="1" applyBorder="1" applyAlignment="1">
      <alignment horizontal="center" vertical="center" wrapText="1"/>
    </xf>
    <xf numFmtId="0" fontId="47" fillId="0" borderId="76" xfId="0" applyFont="1" applyBorder="1" applyAlignment="1">
      <alignment horizontal="center" vertical="center" wrapText="1"/>
    </xf>
    <xf numFmtId="170" fontId="47" fillId="0" borderId="81" xfId="0" applyNumberFormat="1" applyFont="1" applyFill="1" applyBorder="1" applyAlignment="1">
      <alignment horizontal="right" vertical="center" wrapText="1"/>
    </xf>
    <xf numFmtId="0" fontId="0" fillId="0" borderId="82" xfId="0" applyBorder="1" applyAlignment="1">
      <alignment vertical="center"/>
    </xf>
    <xf numFmtId="0" fontId="0" fillId="0" borderId="83" xfId="0" applyBorder="1" applyAlignment="1">
      <alignment vertical="center"/>
    </xf>
    <xf numFmtId="0" fontId="47" fillId="4" borderId="9" xfId="0" applyFont="1" applyFill="1" applyBorder="1" applyAlignment="1">
      <alignment horizontal="center" vertical="center" wrapText="1"/>
    </xf>
    <xf numFmtId="0" fontId="0" fillId="4" borderId="49" xfId="0" applyFill="1" applyBorder="1" applyAlignment="1">
      <alignment horizontal="center" vertical="center"/>
    </xf>
    <xf numFmtId="0" fontId="0" fillId="4" borderId="10" xfId="0" applyFill="1" applyBorder="1" applyAlignment="1">
      <alignment horizontal="center" vertical="center"/>
    </xf>
    <xf numFmtId="0" fontId="4" fillId="0" borderId="87" xfId="0" applyFont="1" applyBorder="1" applyAlignment="1"/>
    <xf numFmtId="0" fontId="0" fillId="0" borderId="0" xfId="0" applyBorder="1" applyAlignment="1"/>
    <xf numFmtId="0" fontId="39" fillId="0" borderId="0" xfId="0" applyFont="1" applyAlignment="1">
      <alignment horizontal="center" vertical="center"/>
    </xf>
    <xf numFmtId="0" fontId="40" fillId="0" borderId="0" xfId="0" applyFont="1" applyAlignment="1">
      <alignment horizontal="center" vertical="center"/>
    </xf>
    <xf numFmtId="0" fontId="41" fillId="0" borderId="4" xfId="0" applyFont="1" applyBorder="1" applyAlignment="1">
      <alignment horizontal="center" vertical="center"/>
    </xf>
    <xf numFmtId="0" fontId="0" fillId="0" borderId="4" xfId="0" applyBorder="1" applyAlignment="1">
      <alignment horizontal="center" vertical="center"/>
    </xf>
    <xf numFmtId="0" fontId="44" fillId="0" borderId="0" xfId="0" applyFont="1" applyBorder="1" applyAlignment="1">
      <alignment horizontal="center"/>
    </xf>
    <xf numFmtId="0" fontId="60" fillId="5" borderId="18" xfId="1" applyFont="1" applyFill="1" applyBorder="1" applyAlignment="1">
      <alignment horizontal="center" vertical="center" wrapText="1"/>
    </xf>
    <xf numFmtId="0" fontId="0" fillId="0" borderId="11" xfId="0" applyBorder="1" applyAlignment="1"/>
    <xf numFmtId="0" fontId="0" fillId="0" borderId="12" xfId="0" applyBorder="1" applyAlignment="1"/>
    <xf numFmtId="0" fontId="0" fillId="0" borderId="20" xfId="0" applyBorder="1" applyAlignment="1"/>
    <xf numFmtId="0" fontId="0" fillId="0" borderId="27" xfId="0" applyBorder="1" applyAlignment="1"/>
    <xf numFmtId="0" fontId="61" fillId="5" borderId="58" xfId="1" applyFont="1" applyFill="1" applyBorder="1" applyAlignment="1">
      <alignment horizontal="center" vertical="center" textRotation="90"/>
    </xf>
    <xf numFmtId="0" fontId="61" fillId="5" borderId="36" xfId="1" applyFont="1" applyFill="1" applyBorder="1" applyAlignment="1">
      <alignment horizontal="center" vertical="center" textRotation="90"/>
    </xf>
    <xf numFmtId="0" fontId="61" fillId="5" borderId="55" xfId="1" applyFont="1" applyFill="1" applyBorder="1" applyAlignment="1">
      <alignment horizontal="center" vertical="center" textRotation="90"/>
    </xf>
    <xf numFmtId="0" fontId="27" fillId="0" borderId="9" xfId="1" applyFont="1" applyBorder="1" applyAlignment="1">
      <alignment horizontal="center" vertical="center"/>
    </xf>
    <xf numFmtId="0" fontId="27" fillId="0" borderId="49" xfId="1" applyFont="1" applyBorder="1" applyAlignment="1">
      <alignment horizontal="center" vertical="center"/>
    </xf>
    <xf numFmtId="0" fontId="27" fillId="0" borderId="10" xfId="1" applyFont="1" applyBorder="1" applyAlignment="1">
      <alignment horizontal="center" vertical="center"/>
    </xf>
    <xf numFmtId="0" fontId="34" fillId="0" borderId="7" xfId="1" applyFont="1" applyBorder="1" applyAlignment="1">
      <alignment horizontal="right" vertical="center"/>
    </xf>
    <xf numFmtId="0" fontId="56" fillId="0" borderId="7" xfId="0" applyFont="1" applyBorder="1" applyAlignment="1">
      <alignment vertical="center"/>
    </xf>
    <xf numFmtId="0" fontId="0" fillId="0" borderId="7" xfId="0" applyBorder="1" applyAlignment="1">
      <alignment vertical="center"/>
    </xf>
    <xf numFmtId="10" fontId="34" fillId="3" borderId="7" xfId="1" applyNumberFormat="1" applyFont="1" applyFill="1" applyBorder="1" applyAlignment="1">
      <alignment horizontal="center" vertical="center"/>
    </xf>
    <xf numFmtId="174" fontId="30" fillId="0" borderId="7" xfId="1" applyNumberFormat="1" applyFont="1" applyBorder="1" applyAlignment="1">
      <alignment horizontal="center" vertical="center"/>
    </xf>
    <xf numFmtId="0" fontId="30" fillId="2" borderId="7" xfId="1" applyFont="1" applyFill="1" applyBorder="1" applyAlignment="1">
      <alignment vertical="center"/>
    </xf>
    <xf numFmtId="0" fontId="13" fillId="0" borderId="0" xfId="1" applyFont="1" applyBorder="1" applyAlignment="1">
      <alignment horizontal="right" vertical="center"/>
    </xf>
    <xf numFmtId="0" fontId="13" fillId="0" borderId="27" xfId="1" applyFont="1" applyBorder="1" applyAlignment="1">
      <alignment horizontal="right" vertical="center"/>
    </xf>
    <xf numFmtId="0" fontId="13" fillId="0" borderId="27" xfId="0" applyFont="1" applyBorder="1" applyAlignment="1">
      <alignment vertical="center"/>
    </xf>
    <xf numFmtId="0" fontId="64" fillId="0" borderId="18" xfId="1" applyFont="1" applyBorder="1" applyAlignment="1">
      <alignment horizontal="center" vertical="center" wrapText="1"/>
    </xf>
    <xf numFmtId="0" fontId="64" fillId="0" borderId="11" xfId="0" applyFont="1" applyBorder="1" applyAlignment="1"/>
    <xf numFmtId="0" fontId="64" fillId="0" borderId="12" xfId="0" applyFont="1" applyBorder="1" applyAlignment="1"/>
    <xf numFmtId="0" fontId="64" fillId="0" borderId="20" xfId="0" applyFont="1" applyBorder="1" applyAlignment="1"/>
    <xf numFmtId="0" fontId="64" fillId="0" borderId="0" xfId="0" applyFont="1" applyBorder="1" applyAlignment="1"/>
    <xf numFmtId="0" fontId="64" fillId="0" borderId="27" xfId="0" applyFont="1" applyBorder="1" applyAlignment="1"/>
    <xf numFmtId="0" fontId="64" fillId="0" borderId="28" xfId="0" applyFont="1" applyBorder="1" applyAlignment="1"/>
    <xf numFmtId="0" fontId="64" fillId="0" borderId="8" xfId="0" applyFont="1" applyBorder="1" applyAlignment="1"/>
    <xf numFmtId="0" fontId="64" fillId="0" borderId="38" xfId="0" applyFont="1" applyBorder="1" applyAlignment="1"/>
    <xf numFmtId="0" fontId="13" fillId="0" borderId="8" xfId="1" applyFont="1" applyBorder="1" applyAlignment="1">
      <alignment horizontal="right" vertical="center"/>
    </xf>
    <xf numFmtId="0" fontId="13" fillId="0" borderId="38" xfId="0" applyFont="1" applyBorder="1" applyAlignment="1">
      <alignment vertical="center"/>
    </xf>
    <xf numFmtId="0" fontId="60" fillId="5" borderId="18" xfId="1" applyFont="1" applyFill="1" applyBorder="1" applyAlignment="1">
      <alignment horizontal="center" vertical="center"/>
    </xf>
    <xf numFmtId="0" fontId="67" fillId="5" borderId="11" xfId="0" applyFont="1" applyFill="1" applyBorder="1" applyAlignment="1">
      <alignment vertical="center"/>
    </xf>
    <xf numFmtId="0" fontId="67" fillId="5" borderId="12" xfId="0" applyFont="1" applyFill="1" applyBorder="1" applyAlignment="1">
      <alignment vertical="center"/>
    </xf>
    <xf numFmtId="0" fontId="67" fillId="5" borderId="28" xfId="0" applyFont="1" applyFill="1" applyBorder="1" applyAlignment="1">
      <alignment vertical="center"/>
    </xf>
    <xf numFmtId="0" fontId="67" fillId="5" borderId="8" xfId="0" applyFont="1" applyFill="1" applyBorder="1" applyAlignment="1">
      <alignment vertical="center"/>
    </xf>
    <xf numFmtId="0" fontId="67" fillId="5" borderId="38" xfId="0" applyFont="1" applyFill="1" applyBorder="1" applyAlignment="1">
      <alignment vertical="center"/>
    </xf>
    <xf numFmtId="0" fontId="68" fillId="12" borderId="18" xfId="0" applyFont="1" applyFill="1" applyBorder="1" applyAlignment="1">
      <alignment horizontal="center" vertical="center" wrapText="1"/>
    </xf>
    <xf numFmtId="0" fontId="68" fillId="12" borderId="20" xfId="0" applyFont="1" applyFill="1" applyBorder="1" applyAlignment="1">
      <alignment horizontal="center" vertical="center" wrapText="1"/>
    </xf>
    <xf numFmtId="0" fontId="68" fillId="12" borderId="28" xfId="0" applyFont="1" applyFill="1" applyBorder="1" applyAlignment="1">
      <alignment horizontal="center" vertical="center" wrapText="1"/>
    </xf>
    <xf numFmtId="0" fontId="30" fillId="2" borderId="11" xfId="1" applyFont="1" applyFill="1" applyBorder="1" applyAlignment="1">
      <alignment horizontal="center" vertical="center"/>
    </xf>
    <xf numFmtId="0" fontId="30" fillId="2" borderId="12" xfId="1" applyFont="1" applyFill="1" applyBorder="1" applyAlignment="1">
      <alignment horizontal="center" vertical="center"/>
    </xf>
    <xf numFmtId="0" fontId="70" fillId="14" borderId="18" xfId="0" applyFont="1" applyFill="1" applyBorder="1" applyAlignment="1">
      <alignment horizontal="center" textRotation="90"/>
    </xf>
    <xf numFmtId="0" fontId="75" fillId="14" borderId="20" xfId="0" applyFont="1" applyFill="1" applyBorder="1" applyAlignment="1">
      <alignment horizontal="center"/>
    </xf>
    <xf numFmtId="0" fontId="75" fillId="14" borderId="28" xfId="0" applyFont="1" applyFill="1" applyBorder="1" applyAlignment="1">
      <alignment horizontal="center"/>
    </xf>
    <xf numFmtId="0" fontId="71" fillId="2" borderId="58" xfId="1" applyFont="1" applyFill="1" applyBorder="1" applyAlignment="1">
      <alignment horizontal="center" vertical="center" wrapText="1"/>
    </xf>
    <xf numFmtId="0" fontId="71" fillId="2" borderId="36" xfId="1" applyFont="1" applyFill="1" applyBorder="1" applyAlignment="1">
      <alignment horizontal="center" vertical="center" wrapText="1"/>
    </xf>
    <xf numFmtId="0" fontId="71" fillId="2" borderId="55" xfId="0" applyFont="1" applyFill="1" applyBorder="1" applyAlignment="1"/>
    <xf numFmtId="0" fontId="72" fillId="0" borderId="18" xfId="0" applyFont="1" applyBorder="1" applyAlignment="1">
      <alignment horizontal="left" vertical="center" wrapText="1" indent="1"/>
    </xf>
    <xf numFmtId="0" fontId="74" fillId="0" borderId="11" xfId="0" applyFont="1" applyBorder="1" applyAlignment="1">
      <alignment horizontal="left" vertical="center" wrapText="1" indent="1"/>
    </xf>
    <xf numFmtId="0" fontId="74" fillId="0" borderId="12" xfId="0" applyFont="1" applyBorder="1" applyAlignment="1">
      <alignment horizontal="left" vertical="center" wrapText="1" indent="1"/>
    </xf>
    <xf numFmtId="0" fontId="74" fillId="0" borderId="20" xfId="0" applyFont="1" applyBorder="1" applyAlignment="1">
      <alignment horizontal="left" vertical="center" wrapText="1" indent="1"/>
    </xf>
    <xf numFmtId="0" fontId="74" fillId="0" borderId="0" xfId="0" applyFont="1" applyBorder="1" applyAlignment="1">
      <alignment horizontal="left" vertical="center" wrapText="1" indent="1"/>
    </xf>
    <xf numFmtId="0" fontId="74" fillId="0" borderId="27" xfId="0" applyFont="1" applyBorder="1" applyAlignment="1">
      <alignment horizontal="left" vertical="center" wrapText="1" indent="1"/>
    </xf>
    <xf numFmtId="0" fontId="74" fillId="0" borderId="28" xfId="0" applyFont="1" applyBorder="1" applyAlignment="1">
      <alignment horizontal="left" vertical="center" wrapText="1" indent="1"/>
    </xf>
    <xf numFmtId="0" fontId="74" fillId="0" borderId="8" xfId="0" applyFont="1" applyBorder="1" applyAlignment="1">
      <alignment horizontal="left" vertical="center" wrapText="1" indent="1"/>
    </xf>
    <xf numFmtId="0" fontId="74" fillId="0" borderId="38" xfId="0" applyFont="1" applyBorder="1" applyAlignment="1">
      <alignment horizontal="left" vertical="center" wrapText="1" indent="1"/>
    </xf>
    <xf numFmtId="0" fontId="68" fillId="12" borderId="18" xfId="1" applyFont="1" applyFill="1" applyBorder="1" applyAlignment="1">
      <alignment horizontal="center" vertical="center" wrapText="1"/>
    </xf>
    <xf numFmtId="0" fontId="68" fillId="12" borderId="20" xfId="1" applyFont="1" applyFill="1" applyBorder="1" applyAlignment="1">
      <alignment horizontal="center" vertical="center" wrapText="1"/>
    </xf>
    <xf numFmtId="0" fontId="68" fillId="12" borderId="28" xfId="1" applyFont="1" applyFill="1" applyBorder="1" applyAlignment="1">
      <alignment horizontal="center" vertical="center" wrapText="1"/>
    </xf>
    <xf numFmtId="0" fontId="60" fillId="5" borderId="58" xfId="1" applyFont="1" applyFill="1" applyBorder="1" applyAlignment="1">
      <alignment horizontal="center" vertical="center" textRotation="90" wrapText="1"/>
    </xf>
    <xf numFmtId="0" fontId="60" fillId="5" borderId="36" xfId="1" applyFont="1" applyFill="1" applyBorder="1" applyAlignment="1">
      <alignment horizontal="center" vertical="center" textRotation="90" wrapText="1"/>
    </xf>
    <xf numFmtId="0" fontId="61" fillId="5" borderId="36" xfId="0" applyFont="1" applyFill="1" applyBorder="1" applyAlignment="1">
      <alignment horizontal="center" vertical="center" textRotation="90"/>
    </xf>
    <xf numFmtId="0" fontId="61" fillId="5" borderId="55" xfId="0" applyFont="1" applyFill="1" applyBorder="1" applyAlignment="1">
      <alignment horizontal="center" vertical="center" textRotation="90"/>
    </xf>
    <xf numFmtId="0" fontId="46" fillId="5" borderId="9" xfId="1" applyFont="1" applyFill="1" applyBorder="1" applyAlignment="1">
      <alignment horizontal="center" vertical="center"/>
    </xf>
    <xf numFmtId="0" fontId="35" fillId="0" borderId="49" xfId="0" applyFont="1" applyBorder="1" applyAlignment="1">
      <alignment horizontal="center" vertical="center"/>
    </xf>
    <xf numFmtId="0" fontId="35" fillId="0" borderId="10" xfId="0" applyFont="1" applyBorder="1" applyAlignment="1">
      <alignment horizontal="center" vertical="center"/>
    </xf>
    <xf numFmtId="0" fontId="27" fillId="0" borderId="9" xfId="0" applyFont="1" applyBorder="1" applyAlignment="1">
      <alignment horizontal="center" vertical="center"/>
    </xf>
    <xf numFmtId="0" fontId="13" fillId="0" borderId="49" xfId="0" applyFont="1" applyBorder="1" applyAlignment="1">
      <alignment horizontal="center" vertical="center"/>
    </xf>
    <xf numFmtId="0" fontId="13" fillId="0" borderId="10" xfId="0" applyFont="1" applyBorder="1" applyAlignment="1">
      <alignment horizontal="center" vertical="center"/>
    </xf>
    <xf numFmtId="174" fontId="34" fillId="0" borderId="7" xfId="0" applyNumberFormat="1" applyFont="1" applyFill="1" applyBorder="1" applyAlignment="1">
      <alignment vertical="center"/>
    </xf>
    <xf numFmtId="0" fontId="34" fillId="0" borderId="88" xfId="0" applyFont="1" applyFill="1" applyBorder="1" applyAlignment="1">
      <alignment horizontal="center" vertical="center" wrapText="1"/>
    </xf>
    <xf numFmtId="0" fontId="56" fillId="0" borderId="70" xfId="0" applyFont="1" applyBorder="1" applyAlignment="1"/>
    <xf numFmtId="0" fontId="0" fillId="0" borderId="70" xfId="0" applyBorder="1" applyAlignment="1"/>
    <xf numFmtId="0" fontId="45" fillId="5" borderId="30" xfId="0" applyFont="1" applyFill="1" applyBorder="1" applyAlignment="1">
      <alignment horizontal="center" vertical="center"/>
    </xf>
    <xf numFmtId="0" fontId="45" fillId="5" borderId="90" xfId="0" applyFont="1" applyFill="1" applyBorder="1" applyAlignment="1">
      <alignment horizontal="center" vertical="center"/>
    </xf>
    <xf numFmtId="0" fontId="15" fillId="0" borderId="58" xfId="1" applyFont="1" applyBorder="1" applyAlignment="1">
      <alignment horizontal="center" vertical="center" textRotation="90"/>
    </xf>
    <xf numFmtId="0" fontId="15" fillId="0" borderId="36" xfId="1" applyFont="1" applyBorder="1" applyAlignment="1">
      <alignment horizontal="center" vertical="center" textRotation="90"/>
    </xf>
    <xf numFmtId="0" fontId="15" fillId="0" borderId="55" xfId="1" applyFont="1" applyBorder="1" applyAlignment="1">
      <alignment horizontal="center" vertical="center" textRotation="90"/>
    </xf>
    <xf numFmtId="0" fontId="32" fillId="5" borderId="9" xfId="1" applyFont="1" applyFill="1" applyBorder="1" applyAlignment="1">
      <alignment horizontal="center" vertical="center"/>
    </xf>
    <xf numFmtId="0" fontId="32" fillId="5" borderId="10" xfId="1" applyFont="1" applyFill="1" applyBorder="1" applyAlignment="1">
      <alignment horizontal="center" vertical="center"/>
    </xf>
    <xf numFmtId="0" fontId="0" fillId="0" borderId="89" xfId="0" applyBorder="1" applyAlignment="1"/>
    <xf numFmtId="0" fontId="78" fillId="12" borderId="18" xfId="0" applyFont="1" applyFill="1" applyBorder="1" applyAlignment="1">
      <alignment horizontal="center" vertical="center" wrapText="1"/>
    </xf>
    <xf numFmtId="0" fontId="79" fillId="12" borderId="12" xfId="0" applyFont="1" applyFill="1" applyBorder="1" applyAlignment="1">
      <alignment vertical="center"/>
    </xf>
    <xf numFmtId="0" fontId="79" fillId="12" borderId="20" xfId="0" applyFont="1" applyFill="1" applyBorder="1" applyAlignment="1">
      <alignment vertical="center"/>
    </xf>
    <xf numFmtId="0" fontId="79" fillId="12" borderId="27" xfId="0" applyFont="1" applyFill="1" applyBorder="1" applyAlignment="1">
      <alignment vertical="center"/>
    </xf>
    <xf numFmtId="0" fontId="79" fillId="12" borderId="28" xfId="0" applyFont="1" applyFill="1" applyBorder="1" applyAlignment="1">
      <alignment vertical="center"/>
    </xf>
    <xf numFmtId="0" fontId="79" fillId="12" borderId="38" xfId="0" applyFont="1" applyFill="1" applyBorder="1" applyAlignment="1">
      <alignment vertical="center"/>
    </xf>
    <xf numFmtId="0" fontId="80" fillId="0" borderId="9" xfId="1" applyFont="1" applyBorder="1" applyAlignment="1">
      <alignment horizontal="center" vertical="center"/>
    </xf>
    <xf numFmtId="0" fontId="80" fillId="0" borderId="49" xfId="1" applyFont="1" applyBorder="1" applyAlignment="1">
      <alignment horizontal="center" vertical="center"/>
    </xf>
    <xf numFmtId="0" fontId="80" fillId="0" borderId="10" xfId="1" applyFont="1" applyBorder="1" applyAlignment="1">
      <alignment horizontal="center" vertical="center"/>
    </xf>
    <xf numFmtId="0" fontId="32" fillId="5" borderId="49" xfId="1" applyFont="1" applyFill="1" applyBorder="1" applyAlignment="1">
      <alignment horizontal="center" vertical="center"/>
    </xf>
    <xf numFmtId="0" fontId="56" fillId="0" borderId="10" xfId="0" applyFont="1" applyBorder="1" applyAlignment="1"/>
    <xf numFmtId="0" fontId="169" fillId="19" borderId="100" xfId="0" applyFont="1" applyFill="1" applyBorder="1"/>
    <xf numFmtId="0" fontId="169" fillId="19" borderId="106" xfId="0" applyFont="1" applyFill="1" applyBorder="1"/>
    <xf numFmtId="0" fontId="170" fillId="19" borderId="106" xfId="0" applyFont="1" applyFill="1" applyBorder="1" applyAlignment="1">
      <alignment horizontal="center" wrapText="1"/>
    </xf>
    <xf numFmtId="0" fontId="171" fillId="17" borderId="75" xfId="0" applyFont="1" applyFill="1" applyBorder="1" applyAlignment="1">
      <alignment horizontal="center" vertical="center" wrapText="1"/>
    </xf>
    <xf numFmtId="0" fontId="171" fillId="17" borderId="77" xfId="0" applyFont="1" applyFill="1" applyBorder="1" applyAlignment="1">
      <alignment horizontal="center" vertical="center" wrapText="1"/>
    </xf>
    <xf numFmtId="0" fontId="160" fillId="0" borderId="0" xfId="0" applyFont="1" applyBorder="1" applyAlignment="1">
      <alignment horizontal="center" vertical="center" wrapText="1"/>
    </xf>
    <xf numFmtId="0" fontId="160" fillId="0" borderId="8" xfId="0" applyFont="1" applyBorder="1" applyAlignment="1">
      <alignment horizontal="center" vertical="center" wrapText="1"/>
    </xf>
    <xf numFmtId="0" fontId="161" fillId="0" borderId="131" xfId="0" applyFont="1" applyBorder="1" applyAlignment="1">
      <alignment horizontal="center" vertical="center" wrapText="1"/>
    </xf>
    <xf numFmtId="0" fontId="161" fillId="0" borderId="0" xfId="0" applyFont="1" applyBorder="1" applyAlignment="1">
      <alignment horizontal="center" vertical="center" wrapText="1"/>
    </xf>
    <xf numFmtId="0" fontId="174" fillId="0" borderId="66" xfId="0" applyFont="1" applyBorder="1" applyAlignment="1">
      <alignment horizontal="left" vertical="top" wrapText="1"/>
    </xf>
  </cellXfs>
  <cellStyles count="4">
    <cellStyle name="Excel Built-in Normal" xfId="1" xr:uid="{00000000-0005-0000-0000-000000000000}"/>
    <cellStyle name="Monétaire" xfId="3" builtinId="4"/>
    <cellStyle name="Normal" xfId="0" builtinId="0"/>
    <cellStyle name="Pourcentage" xfId="2" builtinId="5"/>
  </cellStyles>
  <dxfs count="15">
    <dxf>
      <font>
        <condense val="0"/>
        <extend val="0"/>
        <color indexed="9"/>
      </font>
      <fill>
        <patternFill>
          <bgColor indexed="12"/>
        </patternFill>
      </fill>
    </dxf>
    <dxf>
      <font>
        <condense val="0"/>
        <extend val="0"/>
        <color indexed="9"/>
      </font>
    </dxf>
    <dxf>
      <font>
        <condense val="0"/>
        <extend val="0"/>
        <color indexed="9"/>
      </font>
      <fill>
        <patternFill>
          <bgColor indexed="10"/>
        </patternFill>
      </fill>
    </dxf>
    <dxf>
      <font>
        <condense val="0"/>
        <extend val="0"/>
        <color indexed="9"/>
      </font>
      <fill>
        <patternFill>
          <bgColor indexed="54"/>
        </patternFill>
      </fill>
      <border>
        <top style="thin">
          <color indexed="64"/>
        </top>
        <bottom style="thin">
          <color indexed="64"/>
        </bottom>
      </border>
    </dxf>
    <dxf>
      <font>
        <condense val="0"/>
        <extend val="0"/>
        <color indexed="22"/>
      </font>
      <fill>
        <patternFill>
          <bgColor indexed="22"/>
        </patternFill>
      </fill>
      <border>
        <top/>
        <bottom/>
      </border>
    </dxf>
    <dxf>
      <font>
        <condense val="0"/>
        <extend val="0"/>
        <color indexed="9"/>
      </font>
      <fill>
        <patternFill>
          <bgColor indexed="54"/>
        </patternFill>
      </fill>
    </dxf>
    <dxf>
      <font>
        <condense val="0"/>
        <extend val="0"/>
        <color indexed="9"/>
      </font>
      <fill>
        <patternFill>
          <bgColor indexed="54"/>
        </patternFill>
      </fill>
    </dxf>
    <dxf>
      <fill>
        <patternFill>
          <bgColor indexed="22"/>
        </patternFill>
      </fill>
    </dxf>
    <dxf>
      <fill>
        <patternFill>
          <bgColor indexed="23"/>
        </patternFill>
      </fill>
    </dxf>
    <dxf>
      <font>
        <condense val="0"/>
        <extend val="0"/>
        <color indexed="9"/>
      </font>
      <fill>
        <patternFill>
          <bgColor indexed="63"/>
        </patternFill>
      </fill>
    </dxf>
    <dxf>
      <font>
        <condense val="0"/>
        <extend val="0"/>
        <color indexed="9"/>
      </font>
    </dxf>
    <dxf>
      <font>
        <condense val="0"/>
        <extend val="0"/>
        <color indexed="9"/>
      </font>
    </dxf>
    <dxf>
      <font>
        <color rgb="FF9C0006"/>
      </font>
      <fill>
        <patternFill>
          <bgColor rgb="FFFFC7CE"/>
        </patternFill>
      </fill>
    </dxf>
    <dxf>
      <font>
        <condense val="0"/>
        <extend val="0"/>
        <color indexed="9"/>
      </font>
      <fill>
        <patternFill>
          <bgColor indexed="10"/>
        </patternFill>
      </fill>
    </dxf>
    <dxf>
      <font>
        <condense val="0"/>
        <extend val="0"/>
        <color indexed="9"/>
      </font>
      <fill>
        <patternFill>
          <bgColor indexed="1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0</xdr:col>
      <xdr:colOff>279400</xdr:colOff>
      <xdr:row>20</xdr:row>
      <xdr:rowOff>114300</xdr:rowOff>
    </xdr:from>
    <xdr:to>
      <xdr:col>6</xdr:col>
      <xdr:colOff>546100</xdr:colOff>
      <xdr:row>51</xdr:row>
      <xdr:rowOff>38100</xdr:rowOff>
    </xdr:to>
    <xdr:sp macro="" textlink="">
      <xdr:nvSpPr>
        <xdr:cNvPr id="3" name="ZoneTexte 2">
          <a:extLst>
            <a:ext uri="{FF2B5EF4-FFF2-40B4-BE49-F238E27FC236}">
              <a16:creationId xmlns:a16="http://schemas.microsoft.com/office/drawing/2014/main" id="{3E6DF7BF-E0C3-4541-B160-8969C577E741}"/>
            </a:ext>
          </a:extLst>
        </xdr:cNvPr>
        <xdr:cNvSpPr txBox="1"/>
      </xdr:nvSpPr>
      <xdr:spPr>
        <a:xfrm>
          <a:off x="279400" y="3416300"/>
          <a:ext cx="5410200" cy="5041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fr-FR" sz="1100" b="0" i="0" u="none" strike="noStrike" baseline="0">
              <a:solidFill>
                <a:srgbClr val="000000"/>
              </a:solidFill>
              <a:latin typeface="Calibri" charset="0"/>
              <a:cs typeface="Calibri" charset="0"/>
            </a:rPr>
            <a:t>Pour une bonne utilisation de ce fichier je vous conseille de :</a:t>
          </a:r>
        </a:p>
        <a:p>
          <a:pPr algn="l" rtl="0">
            <a:defRPr sz="1000"/>
          </a:pPr>
          <a:r>
            <a:rPr lang="fr-FR" sz="1100" b="0" i="0" u="none" strike="noStrike" baseline="0">
              <a:solidFill>
                <a:srgbClr val="000000"/>
              </a:solidFill>
              <a:latin typeface="Calibri" charset="0"/>
              <a:cs typeface="Calibri" charset="0"/>
            </a:rPr>
            <a:t>- Conserver une copie telle du présent fichier</a:t>
          </a:r>
        </a:p>
        <a:p>
          <a:pPr algn="l" rtl="0">
            <a:defRPr sz="1000"/>
          </a:pPr>
          <a:r>
            <a:rPr lang="fr-FR" sz="1100" b="0" i="0" u="none" strike="noStrike" baseline="0">
              <a:solidFill>
                <a:srgbClr val="000000"/>
              </a:solidFill>
              <a:latin typeface="Calibri" charset="0"/>
              <a:cs typeface="Calibri" charset="0"/>
            </a:rPr>
            <a:t>- Conserver une base personnalisée (avec vos coordonnées et après avoir supprimé les cadres d'information)</a:t>
          </a:r>
        </a:p>
        <a:p>
          <a:pPr algn="l" rtl="0">
            <a:defRPr sz="1000"/>
          </a:pPr>
          <a:r>
            <a:rPr lang="fr-FR" sz="1100" b="0" i="0" u="none" strike="noStrike" baseline="0">
              <a:solidFill>
                <a:srgbClr val="000000"/>
              </a:solidFill>
              <a:latin typeface="Calibri" charset="0"/>
              <a:cs typeface="Calibri" charset="0"/>
            </a:rPr>
            <a:t>- De faire un "enregistré sous" pour chaque nouvelle facture que vous allez émettre </a:t>
          </a:r>
        </a:p>
        <a:p>
          <a:pPr algn="l" rtl="0">
            <a:defRPr sz="1000"/>
          </a:pPr>
          <a:endParaRPr lang="fr-FR" sz="1100" b="0" i="0" u="none" strike="noStrike" baseline="0">
            <a:solidFill>
              <a:srgbClr val="000000"/>
            </a:solidFill>
            <a:latin typeface="Calibri" charset="0"/>
            <a:cs typeface="Calibri" charset="0"/>
          </a:endParaRPr>
        </a:p>
        <a:p>
          <a:pPr algn="l" rtl="0">
            <a:defRPr sz="1000"/>
          </a:pPr>
          <a:r>
            <a:rPr lang="fr-FR" sz="1100" b="0" i="0" u="none" strike="noStrike" baseline="0">
              <a:solidFill>
                <a:srgbClr val="000000"/>
              </a:solidFill>
              <a:latin typeface="Calibri" charset="0"/>
              <a:cs typeface="Calibri" charset="0"/>
            </a:rPr>
            <a:t>J'espère que ce fichier vous aidera dans l'exercice de votre activité.</a:t>
          </a:r>
        </a:p>
        <a:p>
          <a:pPr algn="l" rtl="0">
            <a:defRPr sz="1000"/>
          </a:pPr>
          <a:endParaRPr lang="fr-FR" sz="1100" b="0" i="0" u="none" strike="noStrike" baseline="0">
            <a:solidFill>
              <a:srgbClr val="000000"/>
            </a:solidFill>
            <a:latin typeface="Calibri" charset="0"/>
            <a:cs typeface="Calibri" charset="0"/>
          </a:endParaRPr>
        </a:p>
        <a:p>
          <a:pPr algn="l" rtl="0">
            <a:defRPr sz="1000"/>
          </a:pPr>
          <a:r>
            <a:rPr lang="fr-FR" sz="1100" b="0" i="0" u="none" strike="noStrike" baseline="0">
              <a:solidFill>
                <a:srgbClr val="000000"/>
              </a:solidFill>
              <a:latin typeface="Calibri" charset="0"/>
              <a:cs typeface="Calibri" charset="0"/>
            </a:rPr>
            <a:t>Si vous êtes à la TVA supprimer les mots :  </a:t>
          </a:r>
          <a:r>
            <a:rPr lang="fr-FR" sz="1100" b="1" i="0" u="none" strike="noStrike" baseline="0">
              <a:solidFill>
                <a:srgbClr val="000000"/>
              </a:solidFill>
              <a:latin typeface="Calibri" charset="0"/>
              <a:cs typeface="Calibri" charset="0"/>
            </a:rPr>
            <a:t>OptionTVA : Franchise</a:t>
          </a:r>
        </a:p>
        <a:p>
          <a:pPr algn="l" rtl="0">
            <a:defRPr sz="1000"/>
          </a:pPr>
          <a:r>
            <a:rPr lang="fr-FR" sz="1100" b="1" i="0" u="none" strike="noStrike" baseline="0">
              <a:solidFill>
                <a:srgbClr val="000000"/>
              </a:solidFill>
              <a:latin typeface="Calibri" charset="0"/>
              <a:cs typeface="Calibri" charset="0"/>
            </a:rPr>
            <a:t>Dans le cas contraire, ne touchez à rien</a:t>
          </a:r>
          <a:endParaRPr lang="fr-FR" sz="1100" b="0" i="0" u="none" strike="noStrike" baseline="0">
            <a:solidFill>
              <a:srgbClr val="000000"/>
            </a:solidFill>
            <a:latin typeface="Calibri" charset="0"/>
            <a:cs typeface="Calibri" charset="0"/>
          </a:endParaRPr>
        </a:p>
        <a:p>
          <a:pPr algn="l" rtl="0">
            <a:defRPr sz="1000"/>
          </a:pPr>
          <a:endParaRPr lang="fr-FR" sz="1100" b="1" i="0" u="none" strike="noStrike" baseline="0">
            <a:solidFill>
              <a:srgbClr val="000000"/>
            </a:solidFill>
            <a:latin typeface="Calibri" charset="0"/>
            <a:cs typeface="Calibri" charset="0"/>
          </a:endParaRPr>
        </a:p>
        <a:p>
          <a:pPr algn="l" rtl="0">
            <a:defRPr sz="1000"/>
          </a:pPr>
          <a:endParaRPr lang="fr-FR" sz="1100" b="1" i="0" u="none" strike="noStrike" baseline="0">
            <a:solidFill>
              <a:srgbClr val="000000"/>
            </a:solidFill>
            <a:latin typeface="Calibri" charset="0"/>
            <a:cs typeface="Calibri" charset="0"/>
          </a:endParaRPr>
        </a:p>
        <a:p>
          <a:pPr algn="l" rtl="0">
            <a:defRPr sz="1000"/>
          </a:pPr>
          <a:r>
            <a:rPr lang="fr-FR" sz="1100" b="1" i="0" u="none" strike="noStrike" baseline="0">
              <a:solidFill>
                <a:srgbClr val="000000"/>
              </a:solidFill>
              <a:latin typeface="Calibri" charset="0"/>
              <a:cs typeface="Calibri" charset="0"/>
            </a:rPr>
            <a:t>En remplissant les onglets "evaluer vos oeuvres" et "evaleur vos droits expo" les factures se remplissent automatiquement</a:t>
          </a:r>
        </a:p>
        <a:p>
          <a:pPr algn="l" rtl="0">
            <a:defRPr sz="1000"/>
          </a:pPr>
          <a:endParaRPr lang="fr-FR" sz="1100" b="1" i="0" u="none" strike="noStrike" baseline="0">
            <a:solidFill>
              <a:srgbClr val="000000"/>
            </a:solidFill>
            <a:latin typeface="Calibri" charset="0"/>
            <a:cs typeface="Calibri" charset="0"/>
          </a:endParaRPr>
        </a:p>
        <a:p>
          <a:pPr algn="l" rtl="0">
            <a:defRPr sz="1000"/>
          </a:pPr>
          <a:endParaRPr lang="fr-FR" sz="1100" b="1" i="0" u="none" strike="noStrike" baseline="0">
            <a:solidFill>
              <a:srgbClr val="000000"/>
            </a:solidFill>
            <a:latin typeface="Calibri" charset="0"/>
            <a:cs typeface="Calibri" charset="0"/>
          </a:endParaRPr>
        </a:p>
        <a:p>
          <a:pPr algn="l" rtl="0">
            <a:defRPr sz="1000"/>
          </a:pPr>
          <a:r>
            <a:rPr lang="fr-FR" sz="1100" b="0" i="0" u="none" strike="noStrike" baseline="0">
              <a:solidFill>
                <a:srgbClr val="000000"/>
              </a:solidFill>
              <a:latin typeface="Calibri" charset="0"/>
              <a:cs typeface="Calibri" charset="0"/>
            </a:rPr>
            <a:t>Merci de votre confiance et bonne journée.</a:t>
          </a:r>
        </a:p>
        <a:p>
          <a:pPr algn="l" rtl="0">
            <a:defRPr sz="1000"/>
          </a:pPr>
          <a:endParaRPr lang="fr-FR" sz="1100" b="0" i="0" u="none" strike="noStrike" baseline="0">
            <a:solidFill>
              <a:srgbClr val="000000"/>
            </a:solidFill>
            <a:latin typeface="Calibri" charset="0"/>
            <a:cs typeface="Calibri" charset="0"/>
          </a:endParaRPr>
        </a:p>
        <a:p>
          <a:pPr algn="l" rtl="0">
            <a:defRPr sz="1000"/>
          </a:pPr>
          <a:r>
            <a:rPr lang="fr-FR" sz="1100" b="0" i="0" u="none" strike="noStrike" baseline="0">
              <a:solidFill>
                <a:srgbClr val="000000"/>
              </a:solidFill>
              <a:latin typeface="Calibri" charset="0"/>
              <a:cs typeface="Calibri" charset="0"/>
            </a:rPr>
            <a:t>Eric Delamarre</a:t>
          </a:r>
          <a:br>
            <a:rPr lang="fr-FR" sz="1100" b="0" i="0" u="none" strike="noStrike" baseline="0">
              <a:solidFill>
                <a:srgbClr val="000000"/>
              </a:solidFill>
              <a:latin typeface="Calibri" charset="0"/>
              <a:cs typeface="Calibri" charset="0"/>
            </a:rPr>
          </a:br>
          <a:br>
            <a:rPr lang="fr-FR" sz="1100" b="0" i="0" u="none" strike="noStrike" baseline="0">
              <a:solidFill>
                <a:srgbClr val="000000"/>
              </a:solidFill>
              <a:latin typeface="Calibri" charset="0"/>
              <a:cs typeface="Calibri" charset="0"/>
            </a:rPr>
          </a:br>
          <a:br>
            <a:rPr lang="fr-FR" sz="1100" b="0" i="0" u="none" strike="noStrike" baseline="0">
              <a:solidFill>
                <a:srgbClr val="000000"/>
              </a:solidFill>
              <a:latin typeface="Calibri" charset="0"/>
              <a:cs typeface="Calibri" charset="0"/>
            </a:rPr>
          </a:br>
          <a:r>
            <a:rPr lang="fr-FR" sz="1100" b="0" i="0" u="none" strike="noStrike" baseline="0">
              <a:solidFill>
                <a:srgbClr val="000000"/>
              </a:solidFill>
              <a:latin typeface="Calibri" charset="0"/>
              <a:cs typeface="Calibri" charset="0"/>
            </a:rPr>
            <a:t>Ce fichier est pour votre usage personnel et ne peut être communiqué à des tiers sans l'accord de son auteur (il en est de même pour toutes les versions antérieures)</a:t>
          </a:r>
          <a:br>
            <a:rPr lang="fr-FR" sz="1100" b="0" i="0" u="none" strike="noStrike" baseline="0">
              <a:solidFill>
                <a:srgbClr val="000000"/>
              </a:solidFill>
              <a:latin typeface="Calibri" charset="0"/>
              <a:cs typeface="Calibri" charset="0"/>
            </a:rPr>
          </a:br>
          <a:br>
            <a:rPr lang="fr-FR" sz="1100" b="0" i="0" u="none" strike="noStrike" baseline="0">
              <a:solidFill>
                <a:srgbClr val="000000"/>
              </a:solidFill>
              <a:latin typeface="Calibri" charset="0"/>
              <a:cs typeface="Calibri" charset="0"/>
            </a:rPr>
          </a:br>
          <a:r>
            <a:rPr lang="fr-FR" sz="1100" b="0" i="0" u="none" strike="noStrike" baseline="0">
              <a:solidFill>
                <a:srgbClr val="000000"/>
              </a:solidFill>
              <a:latin typeface="Calibri" charset="0"/>
              <a:cs typeface="Calibri" charset="0"/>
            </a:rPr>
            <a:t>© 2022  eric delamarre </a:t>
          </a:r>
          <a:br>
            <a:rPr lang="fr-FR" sz="1100" b="0" i="0" u="none" strike="noStrike" baseline="0">
              <a:solidFill>
                <a:srgbClr val="000000"/>
              </a:solidFill>
              <a:latin typeface="Calibri" charset="0"/>
              <a:cs typeface="Calibri" charset="0"/>
            </a:rPr>
          </a:br>
          <a:br>
            <a:rPr lang="fr-FR" sz="1100" b="0" i="0" u="none" strike="noStrike" baseline="0">
              <a:solidFill>
                <a:srgbClr val="000000"/>
              </a:solidFill>
              <a:latin typeface="Calibri" charset="0"/>
              <a:cs typeface="Calibri" charset="0"/>
            </a:rPr>
          </a:br>
          <a:r>
            <a:rPr lang="fr-FR" sz="1100" b="0" i="0" u="none" strike="noStrike" baseline="0">
              <a:solidFill>
                <a:srgbClr val="000000"/>
              </a:solidFill>
              <a:latin typeface="Calibri" charset="0"/>
              <a:cs typeface="Calibri" charset="0"/>
            </a:rPr>
            <a:t>Ce fichier est communiqué sous la seule responsabilité de son utilisateur</a:t>
          </a:r>
        </a:p>
      </xdr:txBody>
    </xdr:sp>
    <xdr:clientData/>
  </xdr:twoCellAnchor>
  <xdr:twoCellAnchor editAs="oneCell">
    <xdr:from>
      <xdr:col>0</xdr:col>
      <xdr:colOff>0</xdr:colOff>
      <xdr:row>1</xdr:row>
      <xdr:rowOff>0</xdr:rowOff>
    </xdr:from>
    <xdr:to>
      <xdr:col>6</xdr:col>
      <xdr:colOff>711200</xdr:colOff>
      <xdr:row>6</xdr:row>
      <xdr:rowOff>114300</xdr:rowOff>
    </xdr:to>
    <xdr:pic>
      <xdr:nvPicPr>
        <xdr:cNvPr id="23990" name="Image 3" descr="Capture d’écran 2017-01-11 à 13.36.36.png">
          <a:extLst>
            <a:ext uri="{FF2B5EF4-FFF2-40B4-BE49-F238E27FC236}">
              <a16:creationId xmlns:a16="http://schemas.microsoft.com/office/drawing/2014/main" id="{491AFFBD-605B-2344-A197-EFBBEDEDEDE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165100"/>
          <a:ext cx="5854700" cy="939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25400</xdr:colOff>
      <xdr:row>7</xdr:row>
      <xdr:rowOff>0</xdr:rowOff>
    </xdr:from>
    <xdr:to>
      <xdr:col>6</xdr:col>
      <xdr:colOff>711200</xdr:colOff>
      <xdr:row>19</xdr:row>
      <xdr:rowOff>12700</xdr:rowOff>
    </xdr:to>
    <xdr:sp macro="" textlink="">
      <xdr:nvSpPr>
        <xdr:cNvPr id="5" name="ZoneTexte 4">
          <a:extLst>
            <a:ext uri="{FF2B5EF4-FFF2-40B4-BE49-F238E27FC236}">
              <a16:creationId xmlns:a16="http://schemas.microsoft.com/office/drawing/2014/main" id="{065B54F9-73AD-0349-B91F-98AFDD33C975}"/>
            </a:ext>
          </a:extLst>
        </xdr:cNvPr>
        <xdr:cNvSpPr txBox="1"/>
      </xdr:nvSpPr>
      <xdr:spPr>
        <a:xfrm>
          <a:off x="25400" y="1155700"/>
          <a:ext cx="5829300" cy="1993900"/>
        </a:xfrm>
        <a:prstGeom prst="rect">
          <a:avLst/>
        </a:prstGeom>
        <a:solidFill>
          <a:schemeClr val="bg1">
            <a:lumMod val="75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pPr algn="ctr" rtl="0">
            <a:defRPr sz="1000"/>
          </a:pPr>
          <a:r>
            <a:rPr lang="fr-FR" sz="2800" b="0" i="0" u="none" strike="noStrike" baseline="0">
              <a:solidFill>
                <a:srgbClr val="000000"/>
              </a:solidFill>
              <a:latin typeface="Arial Black" charset="0"/>
              <a:cs typeface="Arial Black" charset="0"/>
            </a:rPr>
            <a:t>Calcul et rédaction pour vente d'oeuvre et droits de représentation</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50800</xdr:colOff>
      <xdr:row>36</xdr:row>
      <xdr:rowOff>10160</xdr:rowOff>
    </xdr:from>
    <xdr:to>
      <xdr:col>5</xdr:col>
      <xdr:colOff>779780</xdr:colOff>
      <xdr:row>42</xdr:row>
      <xdr:rowOff>91440</xdr:rowOff>
    </xdr:to>
    <xdr:sp macro="" textlink="">
      <xdr:nvSpPr>
        <xdr:cNvPr id="3" name="ZoneTexte 2">
          <a:extLst>
            <a:ext uri="{FF2B5EF4-FFF2-40B4-BE49-F238E27FC236}">
              <a16:creationId xmlns:a16="http://schemas.microsoft.com/office/drawing/2014/main" id="{B15AA320-0FDB-F84E-BD11-02980142B5A1}"/>
            </a:ext>
          </a:extLst>
        </xdr:cNvPr>
        <xdr:cNvSpPr txBox="1">
          <a:spLocks noChangeArrowheads="1"/>
        </xdr:cNvSpPr>
      </xdr:nvSpPr>
      <xdr:spPr bwMode="auto">
        <a:xfrm>
          <a:off x="50800" y="8778240"/>
          <a:ext cx="6540500" cy="873760"/>
        </a:xfrm>
        <a:prstGeom prst="rect">
          <a:avLst/>
        </a:prstGeom>
        <a:solidFill>
          <a:srgbClr val="FFFFFF"/>
        </a:solidFill>
        <a:ln w="9525">
          <a:noFill/>
          <a:miter lim="800000"/>
          <a:headEnd/>
          <a:tailEnd/>
        </a:ln>
        <a:effectLst/>
      </xdr:spPr>
      <xdr:txBody>
        <a:bodyPr wrap="square" lIns="27432" tIns="18288" rIns="0" bIns="0" anchor="t" upright="1"/>
        <a:lstStyle/>
        <a:p>
          <a:pPr algn="ctr" rtl="0">
            <a:defRPr sz="1000"/>
          </a:pPr>
          <a:r>
            <a:rPr lang="fr-FR" sz="800" b="0" i="1" u="none" strike="noStrike" baseline="0">
              <a:solidFill>
                <a:srgbClr val="000000"/>
              </a:solidFill>
              <a:latin typeface="Verdana" charset="0"/>
              <a:ea typeface="Verdana" charset="0"/>
              <a:cs typeface="Verdana" charset="0"/>
            </a:rPr>
            <a:t>Tous droits de reproduction réservés. La propriété du tirage n'autorise pas les reproductions ou les diffusions de l'oeuvre sans l'accord de l'auteur, et le versement des droits correspondant, y compris si le détenteur est une personne privée. </a:t>
          </a:r>
        </a:p>
        <a:p>
          <a:pPr algn="ctr" rtl="0">
            <a:defRPr sz="1000"/>
          </a:pPr>
          <a:r>
            <a:rPr lang="fr-FR" sz="800" b="0" i="1" u="none" strike="noStrike" baseline="0">
              <a:solidFill>
                <a:srgbClr val="000000"/>
              </a:solidFill>
              <a:latin typeface="Verdana" charset="0"/>
              <a:ea typeface="Verdana" charset="0"/>
              <a:cs typeface="Verdana" charset="0"/>
            </a:rPr>
            <a:t>Toutes les ventes se font avec un paiement comptant sans escompte en espèce, par chèque ou virement. </a:t>
          </a:r>
        </a:p>
        <a:p>
          <a:pPr algn="ctr" rtl="0">
            <a:defRPr sz="1000"/>
          </a:pPr>
          <a:r>
            <a:rPr lang="fr-FR" sz="800" b="0" i="1" u="none" strike="noStrike" baseline="0">
              <a:solidFill>
                <a:srgbClr val="000000"/>
              </a:solidFill>
              <a:latin typeface="Verdana" charset="0"/>
              <a:ea typeface="Verdana" charset="0"/>
              <a:cs typeface="Verdana" charset="0"/>
            </a:rPr>
            <a:t>Pénalités de retard 12% majorées, selon le décret n° 2012-1115 du 2/10/2012, d'une indemnité forfaitaire de 40 €</a:t>
          </a:r>
        </a:p>
        <a:p>
          <a:pPr algn="ctr" rtl="0">
            <a:defRPr sz="1000"/>
          </a:pPr>
          <a:r>
            <a:rPr lang="fr-FR" sz="800" b="0" i="1" u="none" strike="noStrike" baseline="0">
              <a:solidFill>
                <a:srgbClr val="000000"/>
              </a:solidFill>
              <a:latin typeface="Verdana" charset="0"/>
              <a:ea typeface="Verdana" charset="0"/>
              <a:cs typeface="Verdana" charset="0"/>
            </a:rPr>
            <a:t> pour frais de recouvrement, exigible dès le lendemain de la date d'échéance.</a:t>
          </a:r>
        </a:p>
        <a:p>
          <a:pPr algn="ctr" rtl="0">
            <a:defRPr sz="1000"/>
          </a:pPr>
          <a:r>
            <a:rPr lang="fr-FR" sz="800" b="0" i="1" u="none" strike="noStrike" baseline="0">
              <a:solidFill>
                <a:srgbClr val="000000"/>
              </a:solidFill>
              <a:latin typeface="Verdana" charset="0"/>
              <a:ea typeface="Verdana" charset="0"/>
              <a:cs typeface="Verdana" charset="0"/>
            </a:rPr>
            <a:t>Artiste auteur en entreprise individuelle </a:t>
          </a:r>
        </a:p>
      </xdr:txBody>
    </xdr:sp>
    <xdr:clientData/>
  </xdr:twoCellAnchor>
  <xdr:twoCellAnchor>
    <xdr:from>
      <xdr:col>0</xdr:col>
      <xdr:colOff>30480</xdr:colOff>
      <xdr:row>17</xdr:row>
      <xdr:rowOff>50800</xdr:rowOff>
    </xdr:from>
    <xdr:to>
      <xdr:col>5</xdr:col>
      <xdr:colOff>843280</xdr:colOff>
      <xdr:row>17</xdr:row>
      <xdr:rowOff>1066800</xdr:rowOff>
    </xdr:to>
    <xdr:sp macro="" textlink="">
      <xdr:nvSpPr>
        <xdr:cNvPr id="4" name="ZoneTexte 3">
          <a:extLst>
            <a:ext uri="{FF2B5EF4-FFF2-40B4-BE49-F238E27FC236}">
              <a16:creationId xmlns:a16="http://schemas.microsoft.com/office/drawing/2014/main" id="{9576714B-4E4E-764B-B17B-DC3A9C2E9FDE}"/>
            </a:ext>
          </a:extLst>
        </xdr:cNvPr>
        <xdr:cNvSpPr txBox="1"/>
      </xdr:nvSpPr>
      <xdr:spPr>
        <a:xfrm>
          <a:off x="30480" y="3362960"/>
          <a:ext cx="6624320" cy="101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l" rtl="0">
            <a:defRPr sz="1000"/>
          </a:pPr>
          <a:r>
            <a:rPr lang="fr-FR" sz="1100" b="0" i="0" u="none" strike="noStrike" baseline="0">
              <a:solidFill>
                <a:srgbClr val="000000"/>
              </a:solidFill>
              <a:latin typeface="Calibri" charset="0"/>
              <a:cs typeface="Calibri" charset="0"/>
            </a:rPr>
            <a:t>dfgknkxnv</a:t>
          </a:r>
        </a:p>
        <a:p>
          <a:pPr algn="l" rtl="0">
            <a:defRPr sz="1000"/>
          </a:pPr>
          <a:r>
            <a:rPr lang="fr-FR" sz="1100" b="0" i="0" u="none" strike="noStrike" baseline="0">
              <a:solidFill>
                <a:srgbClr val="000000"/>
              </a:solidFill>
              <a:latin typeface="Calibri" charset="0"/>
              <a:cs typeface="Calibri" charset="0"/>
            </a:rPr>
            <a:t>kqjfn;x,n</a:t>
          </a:r>
        </a:p>
        <a:p>
          <a:pPr algn="l" rtl="0">
            <a:defRPr sz="1000"/>
          </a:pPr>
          <a:r>
            <a:rPr lang="fr-FR" sz="1100" b="0" i="0" u="none" strike="noStrike" baseline="0">
              <a:solidFill>
                <a:srgbClr val="000000"/>
              </a:solidFill>
              <a:latin typeface="Calibri" charset="0"/>
              <a:cs typeface="Calibri" charset="0"/>
            </a:rPr>
            <a:t>kjFSN,N&gt;C.&gt;W,NFSN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723900</xdr:colOff>
      <xdr:row>5</xdr:row>
      <xdr:rowOff>177800</xdr:rowOff>
    </xdr:from>
    <xdr:to>
      <xdr:col>1</xdr:col>
      <xdr:colOff>2984500</xdr:colOff>
      <xdr:row>14</xdr:row>
      <xdr:rowOff>114300</xdr:rowOff>
    </xdr:to>
    <xdr:sp macro="" textlink="">
      <xdr:nvSpPr>
        <xdr:cNvPr id="18919" name="ZoneTexte 1">
          <a:extLst>
            <a:ext uri="{FF2B5EF4-FFF2-40B4-BE49-F238E27FC236}">
              <a16:creationId xmlns:a16="http://schemas.microsoft.com/office/drawing/2014/main" id="{0F850453-E122-3941-B205-6610B4DFF9B1}"/>
            </a:ext>
          </a:extLst>
        </xdr:cNvPr>
        <xdr:cNvSpPr txBox="1">
          <a:spLocks noChangeArrowheads="1"/>
        </xdr:cNvSpPr>
      </xdr:nvSpPr>
      <xdr:spPr bwMode="auto">
        <a:xfrm>
          <a:off x="723900" y="1790700"/>
          <a:ext cx="3263900" cy="3670300"/>
        </a:xfrm>
        <a:prstGeom prst="rect">
          <a:avLst/>
        </a:prstGeom>
        <a:solidFill>
          <a:srgbClr val="D9D9D9"/>
        </a:solidFill>
        <a:ln w="9525">
          <a:solidFill>
            <a:srgbClr val="000000"/>
          </a:solidFill>
          <a:miter lim="800000"/>
          <a:headEnd/>
          <a:tailEnd/>
        </a:ln>
        <a:effectLst>
          <a:outerShdw blurRad="50800" dist="38100" dir="2700000" algn="tl" rotWithShape="0">
            <a:srgbClr val="808080">
              <a:alpha val="42999"/>
            </a:srgbClr>
          </a:outerShdw>
        </a:effectLst>
      </xdr:spPr>
      <xdr:txBody>
        <a:bodyPr/>
        <a:lstStyle/>
        <a:p>
          <a:endParaRPr lang="fr-FR"/>
        </a:p>
      </xdr:txBody>
    </xdr:sp>
    <xdr:clientData/>
  </xdr:twoCellAnchor>
  <xdr:twoCellAnchor>
    <xdr:from>
      <xdr:col>2</xdr:col>
      <xdr:colOff>4203700</xdr:colOff>
      <xdr:row>16</xdr:row>
      <xdr:rowOff>88900</xdr:rowOff>
    </xdr:from>
    <xdr:to>
      <xdr:col>4</xdr:col>
      <xdr:colOff>38100</xdr:colOff>
      <xdr:row>16</xdr:row>
      <xdr:rowOff>571500</xdr:rowOff>
    </xdr:to>
    <xdr:sp macro="" textlink="">
      <xdr:nvSpPr>
        <xdr:cNvPr id="3" name="ZoneTexte 2">
          <a:extLst>
            <a:ext uri="{FF2B5EF4-FFF2-40B4-BE49-F238E27FC236}">
              <a16:creationId xmlns:a16="http://schemas.microsoft.com/office/drawing/2014/main" id="{15796054-473E-5A40-B571-DBB8162BB8F2}"/>
            </a:ext>
          </a:extLst>
        </xdr:cNvPr>
        <xdr:cNvSpPr txBox="1"/>
      </xdr:nvSpPr>
      <xdr:spPr>
        <a:xfrm>
          <a:off x="8547100" y="5880100"/>
          <a:ext cx="1384300" cy="48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wrap="square" rtlCol="0" anchor="t"/>
        <a:lstStyle/>
        <a:p>
          <a:pPr algn="ctr" rtl="0">
            <a:defRPr sz="1000"/>
          </a:pPr>
          <a:r>
            <a:rPr lang="fr-FR" sz="1100" b="0" i="1" u="none" strike="noStrike" baseline="0">
              <a:solidFill>
                <a:srgbClr val="969696"/>
              </a:solidFill>
              <a:latin typeface="Calibri" charset="0"/>
              <a:cs typeface="Calibri" charset="0"/>
            </a:rPr>
            <a:t>Empreinte digitale de l'artiste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381000</xdr:colOff>
      <xdr:row>1</xdr:row>
      <xdr:rowOff>12700</xdr:rowOff>
    </xdr:from>
    <xdr:to>
      <xdr:col>7</xdr:col>
      <xdr:colOff>381000</xdr:colOff>
      <xdr:row>3</xdr:row>
      <xdr:rowOff>495300</xdr:rowOff>
    </xdr:to>
    <xdr:sp macro="" textlink="">
      <xdr:nvSpPr>
        <xdr:cNvPr id="19762" name="ZoneTexte 1">
          <a:extLst>
            <a:ext uri="{FF2B5EF4-FFF2-40B4-BE49-F238E27FC236}">
              <a16:creationId xmlns:a16="http://schemas.microsoft.com/office/drawing/2014/main" id="{40580CF0-FE49-6B44-88AD-9CF6AE257A53}"/>
            </a:ext>
          </a:extLst>
        </xdr:cNvPr>
        <xdr:cNvSpPr txBox="1">
          <a:spLocks noChangeArrowheads="1"/>
        </xdr:cNvSpPr>
      </xdr:nvSpPr>
      <xdr:spPr bwMode="auto">
        <a:xfrm>
          <a:off x="1206500" y="177800"/>
          <a:ext cx="5867400" cy="1409700"/>
        </a:xfrm>
        <a:prstGeom prst="rect">
          <a:avLst/>
        </a:prstGeom>
        <a:solidFill>
          <a:srgbClr val="FFFF00"/>
        </a:solidFill>
        <a:ln w="9525">
          <a:solidFill>
            <a:srgbClr val="000000"/>
          </a:solidFill>
          <a:miter lim="800000"/>
          <a:headEnd/>
          <a:tailEnd/>
        </a:ln>
        <a:effectLst>
          <a:outerShdw blurRad="50800" dist="38100" dir="2700000" algn="tl" rotWithShape="0">
            <a:srgbClr val="808080">
              <a:alpha val="42999"/>
            </a:srgbClr>
          </a:outerShdw>
        </a:effectLst>
      </xdr:spPr>
      <xdr:txBody>
        <a:bodyPr vertOverflow="clip" wrap="square" lIns="91440" tIns="45720" rIns="91440" bIns="45720" anchor="t"/>
        <a:lstStyle/>
        <a:p>
          <a:pPr algn="ctr" rtl="0">
            <a:lnSpc>
              <a:spcPts val="1700"/>
            </a:lnSpc>
            <a:defRPr sz="1000"/>
          </a:pPr>
          <a:r>
            <a:rPr lang="fr-FR" sz="1600" b="1" i="0" u="none" strike="noStrike" baseline="0">
              <a:solidFill>
                <a:srgbClr val="000000"/>
              </a:solidFill>
              <a:latin typeface="Calibri" pitchFamily="2" charset="0"/>
              <a:cs typeface="Calibri" pitchFamily="2" charset="0"/>
            </a:rPr>
            <a:t>En remplissant les informations liées à votre exposition la facture de droit de représentation se remplit automatiquement </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36</xdr:row>
      <xdr:rowOff>10160</xdr:rowOff>
    </xdr:from>
    <xdr:to>
      <xdr:col>5</xdr:col>
      <xdr:colOff>792480</xdr:colOff>
      <xdr:row>45</xdr:row>
      <xdr:rowOff>0</xdr:rowOff>
    </xdr:to>
    <xdr:sp macro="" textlink="">
      <xdr:nvSpPr>
        <xdr:cNvPr id="2" name="ZoneTexte 1">
          <a:extLst>
            <a:ext uri="{FF2B5EF4-FFF2-40B4-BE49-F238E27FC236}">
              <a16:creationId xmlns:a16="http://schemas.microsoft.com/office/drawing/2014/main" id="{C3256757-810C-C645-AC67-E38EE358AADB}"/>
            </a:ext>
          </a:extLst>
        </xdr:cNvPr>
        <xdr:cNvSpPr txBox="1">
          <a:spLocks noChangeArrowheads="1"/>
        </xdr:cNvSpPr>
      </xdr:nvSpPr>
      <xdr:spPr bwMode="auto">
        <a:xfrm>
          <a:off x="0" y="8615680"/>
          <a:ext cx="7010400" cy="1249680"/>
        </a:xfrm>
        <a:prstGeom prst="rect">
          <a:avLst/>
        </a:prstGeom>
        <a:solidFill>
          <a:srgbClr val="FFFFFF"/>
        </a:solidFill>
        <a:ln w="9525">
          <a:noFill/>
          <a:miter lim="800000"/>
          <a:headEnd/>
          <a:tailEnd/>
        </a:ln>
        <a:effectLst/>
      </xdr:spPr>
      <xdr:txBody>
        <a:bodyPr wrap="square" lIns="27432" tIns="18288" rIns="0" bIns="0" anchor="t" upright="1"/>
        <a:lstStyle/>
        <a:p>
          <a:pPr algn="ctr" rtl="0">
            <a:defRPr sz="1000"/>
          </a:pPr>
          <a:r>
            <a:rPr lang="fr-FR" sz="800" b="0" i="1" u="none" strike="noStrike" baseline="0">
              <a:solidFill>
                <a:srgbClr val="000000"/>
              </a:solidFill>
              <a:latin typeface="Verdana" charset="0"/>
              <a:ea typeface="Verdana" charset="0"/>
              <a:cs typeface="Verdana" charset="0"/>
            </a:rPr>
            <a:t>Tous droits de reproduction réservés. </a:t>
          </a:r>
        </a:p>
        <a:p>
          <a:pPr algn="ctr" rtl="0">
            <a:defRPr sz="1000"/>
          </a:pPr>
          <a:r>
            <a:rPr lang="fr-FR" sz="800" b="0" i="1" u="none" strike="noStrike" baseline="0">
              <a:solidFill>
                <a:srgbClr val="000000"/>
              </a:solidFill>
              <a:latin typeface="Verdana" charset="0"/>
              <a:ea typeface="Verdana" charset="0"/>
              <a:cs typeface="Verdana" charset="0"/>
            </a:rPr>
            <a:t>Le paiement de droit de représentation n'autorise pas les reproductions ou les diffusions de l'oeuvre sans l'accord de l'auteur, </a:t>
          </a:r>
        </a:p>
        <a:p>
          <a:pPr algn="ctr" rtl="0">
            <a:defRPr sz="1000"/>
          </a:pPr>
          <a:r>
            <a:rPr lang="fr-FR" sz="800" b="0" i="1" u="none" strike="noStrike" baseline="0">
              <a:solidFill>
                <a:srgbClr val="000000"/>
              </a:solidFill>
              <a:latin typeface="Verdana" charset="0"/>
              <a:ea typeface="Verdana" charset="0"/>
              <a:cs typeface="Verdana" charset="0"/>
            </a:rPr>
            <a:t>et le versement des droits correspondant. </a:t>
          </a:r>
        </a:p>
        <a:p>
          <a:pPr algn="ctr" rtl="0">
            <a:defRPr sz="1000"/>
          </a:pPr>
          <a:r>
            <a:rPr lang="fr-FR" sz="800" b="0" i="1" u="none" strike="noStrike" baseline="0">
              <a:solidFill>
                <a:srgbClr val="000000"/>
              </a:solidFill>
              <a:latin typeface="Verdana" charset="0"/>
              <a:ea typeface="Verdana" charset="0"/>
              <a:cs typeface="Verdana" charset="0"/>
            </a:rPr>
            <a:t>Le montant des droits de représentation se fait à la commande et en cas d'annulation il pourra être réclamé les frais déjà engagés. </a:t>
          </a:r>
        </a:p>
        <a:p>
          <a:pPr algn="ctr" rtl="0">
            <a:defRPr sz="1000"/>
          </a:pPr>
          <a:endParaRPr lang="fr-FR" sz="800" b="0" i="1" u="none" strike="noStrike" baseline="0">
            <a:solidFill>
              <a:srgbClr val="000000"/>
            </a:solidFill>
            <a:latin typeface="Verdana" charset="0"/>
            <a:ea typeface="Verdana" charset="0"/>
            <a:cs typeface="Verdana" charset="0"/>
          </a:endParaRPr>
        </a:p>
        <a:p>
          <a:pPr algn="ctr" rtl="0">
            <a:defRPr sz="1000"/>
          </a:pPr>
          <a:r>
            <a:rPr lang="fr-FR" sz="800" b="0" i="1" u="none" strike="noStrike" baseline="0">
              <a:solidFill>
                <a:srgbClr val="000000"/>
              </a:solidFill>
              <a:latin typeface="Verdana" charset="0"/>
              <a:ea typeface="Verdana" charset="0"/>
              <a:cs typeface="Verdana" charset="0"/>
            </a:rPr>
            <a:t>Pénalités de retard 12%, majorées, selon le décret n° 2012-1115 du 2/10/2012, d'une indemnité forfaitaire de 40 €</a:t>
          </a:r>
        </a:p>
        <a:p>
          <a:pPr algn="ctr" rtl="0">
            <a:defRPr sz="1000"/>
          </a:pPr>
          <a:r>
            <a:rPr lang="fr-FR" sz="800" b="0" i="1" u="none" strike="noStrike" baseline="0">
              <a:solidFill>
                <a:srgbClr val="000000"/>
              </a:solidFill>
              <a:latin typeface="Verdana" charset="0"/>
              <a:ea typeface="Verdana" charset="0"/>
              <a:cs typeface="Verdana" charset="0"/>
            </a:rPr>
            <a:t> pour frais de recouvrement, exigible dès le lendemain de la date d'échéance.</a:t>
          </a:r>
        </a:p>
        <a:p>
          <a:pPr algn="ctr" rtl="0">
            <a:defRPr sz="1000"/>
          </a:pPr>
          <a:endParaRPr lang="fr-FR" sz="800" b="0" i="1" u="none" strike="noStrike" baseline="0">
            <a:solidFill>
              <a:srgbClr val="000000"/>
            </a:solidFill>
            <a:latin typeface="Verdana" charset="0"/>
            <a:ea typeface="Verdana" charset="0"/>
            <a:cs typeface="Verdana" charset="0"/>
          </a:endParaRPr>
        </a:p>
        <a:p>
          <a:pPr algn="ctr" rtl="0">
            <a:defRPr sz="1000"/>
          </a:pPr>
          <a:r>
            <a:rPr lang="fr-FR" sz="800" b="0" i="1" u="none" strike="noStrike" baseline="0">
              <a:solidFill>
                <a:srgbClr val="000000"/>
              </a:solidFill>
              <a:latin typeface="Verdana" charset="0"/>
              <a:ea typeface="Verdana" charset="0"/>
              <a:cs typeface="Verdana" charset="0"/>
            </a:rPr>
            <a:t> Artiste auteur en entreprise individuelle.</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18</xdr:col>
      <xdr:colOff>457200</xdr:colOff>
      <xdr:row>15</xdr:row>
      <xdr:rowOff>12700</xdr:rowOff>
    </xdr:from>
    <xdr:to>
      <xdr:col>19</xdr:col>
      <xdr:colOff>266700</xdr:colOff>
      <xdr:row>17</xdr:row>
      <xdr:rowOff>38100</xdr:rowOff>
    </xdr:to>
    <xdr:pic>
      <xdr:nvPicPr>
        <xdr:cNvPr id="21919" name="Image 1" descr="I-Moyenne-8075-panneau-de-danger-point-d-exclamation-a14.net.jpg">
          <a:extLst>
            <a:ext uri="{FF2B5EF4-FFF2-40B4-BE49-F238E27FC236}">
              <a16:creationId xmlns:a16="http://schemas.microsoft.com/office/drawing/2014/main" id="{8976AE81-D659-4B4F-B1BA-7AC65543447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554700" y="4762500"/>
          <a:ext cx="635000" cy="635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_PrixTirage-septembre-201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_DEVIS-FACT-2019%20V6-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lire"/>
      <sheetName val="Tableau de calcul"/>
      <sheetName val="Part auteur et galeriste"/>
    </sheetNames>
    <sheetDataSet>
      <sheetData sheetId="0"/>
      <sheetData sheetId="1"/>
      <sheetData sheetId="2">
        <row r="7">
          <cell r="A7">
            <v>311.03999999999996</v>
          </cell>
          <cell r="F7">
            <v>0.5</v>
          </cell>
        </row>
        <row r="12">
          <cell r="C12">
            <v>28.276363636363669</v>
          </cell>
          <cell r="D12">
            <v>282.76363636363629</v>
          </cell>
          <cell r="E12">
            <v>141.38181818181815</v>
          </cell>
          <cell r="G12">
            <v>141.38181818181815</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LIRE"/>
      <sheetName val="Base clients"/>
      <sheetName val="A remplir"/>
      <sheetName val="Devis-Fact"/>
      <sheetName val="Annexe CGC"/>
      <sheetName val="Temps passé"/>
      <sheetName val="Portraits et produits"/>
      <sheetName val="Forfait droit internet"/>
      <sheetName val="Forfait droits print &amp; expo "/>
      <sheetName val="Droits pour la publicité"/>
      <sheetName val="Hebergement et km"/>
      <sheetName val="Equipe et Location"/>
      <sheetName val="Liste frais"/>
      <sheetName val="Facture d'acompte"/>
      <sheetName val="Graphique Devis"/>
      <sheetName val="Bareme mannequin"/>
      <sheetName val="fiche de prod"/>
      <sheetName val="location studio"/>
      <sheetName val="Planning"/>
      <sheetName val="Synthèse"/>
    </sheetNames>
    <sheetDataSet>
      <sheetData sheetId="0"/>
      <sheetData sheetId="1"/>
      <sheetData sheetId="2"/>
      <sheetData sheetId="3"/>
      <sheetData sheetId="4"/>
      <sheetData sheetId="5"/>
      <sheetData sheetId="6"/>
      <sheetData sheetId="7"/>
      <sheetData sheetId="8">
        <row r="9">
          <cell r="P9">
            <v>0</v>
          </cell>
        </row>
        <row r="22">
          <cell r="P22">
            <v>0</v>
          </cell>
        </row>
        <row r="26">
          <cell r="L26">
            <v>0</v>
          </cell>
        </row>
        <row r="40">
          <cell r="P40">
            <v>0</v>
          </cell>
        </row>
      </sheetData>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showGridLines="0" zoomScale="125" zoomScaleNormal="100" workbookViewId="0">
      <selection activeCell="H51" sqref="H51"/>
    </sheetView>
  </sheetViews>
  <sheetFormatPr baseColWidth="10" defaultRowHeight="13" x14ac:dyDescent="0.2"/>
  <cols>
    <col min="6" max="6" width="13.33203125" customWidth="1"/>
  </cols>
  <sheetData/>
  <phoneticPr fontId="9" type="noConversion"/>
  <pageMargins left="0.78740157499999996" right="0.78740157499999996" top="0.984251969" bottom="0.984251969" header="0.5" footer="0.5"/>
  <pageSetup paperSize="10" orientation="portrait" horizontalDpi="4294967292" verticalDpi="4294967292"/>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61"/>
  <sheetViews>
    <sheetView showGridLines="0" tabSelected="1" zoomScale="137" zoomScaleNormal="137" workbookViewId="0">
      <selection activeCell="C7" sqref="C7"/>
    </sheetView>
  </sheetViews>
  <sheetFormatPr baseColWidth="10" defaultRowHeight="13" x14ac:dyDescent="0.2"/>
  <cols>
    <col min="2" max="2" width="43.5" customWidth="1"/>
    <col min="3" max="3" width="15.6640625" customWidth="1"/>
    <col min="4" max="4" width="14.83203125" customWidth="1"/>
    <col min="5" max="5" width="15.1640625" customWidth="1"/>
    <col min="6" max="6" width="14.5" customWidth="1"/>
    <col min="8" max="8" width="12.1640625" customWidth="1"/>
  </cols>
  <sheetData>
    <row r="1" spans="2:7" ht="14" thickBot="1" x14ac:dyDescent="0.25"/>
    <row r="2" spans="2:7" ht="13" customHeight="1" x14ac:dyDescent="0.2">
      <c r="B2" s="431"/>
      <c r="C2" s="432"/>
      <c r="D2" s="432"/>
      <c r="E2" s="433"/>
      <c r="F2" s="490" t="s">
        <v>303</v>
      </c>
      <c r="G2" s="768" t="s">
        <v>304</v>
      </c>
    </row>
    <row r="3" spans="2:7" ht="19" x14ac:dyDescent="0.25">
      <c r="B3" s="503" t="s">
        <v>108</v>
      </c>
      <c r="C3" s="504"/>
      <c r="D3" s="504"/>
      <c r="E3" s="505"/>
      <c r="F3" s="488" t="s">
        <v>302</v>
      </c>
      <c r="G3" s="768"/>
    </row>
    <row r="4" spans="2:7" ht="14" customHeight="1" x14ac:dyDescent="0.2">
      <c r="B4" s="513" t="s">
        <v>310</v>
      </c>
      <c r="C4" s="514"/>
      <c r="D4" s="281"/>
      <c r="E4" s="282"/>
      <c r="F4" s="487">
        <v>45</v>
      </c>
      <c r="G4" s="768"/>
    </row>
    <row r="5" spans="2:7" ht="16" x14ac:dyDescent="0.2">
      <c r="B5" s="435"/>
      <c r="C5" s="278" t="s">
        <v>212</v>
      </c>
      <c r="D5" s="278" t="s">
        <v>213</v>
      </c>
      <c r="E5" s="283" t="s">
        <v>214</v>
      </c>
      <c r="F5" s="489" t="s">
        <v>309</v>
      </c>
      <c r="G5" s="768"/>
    </row>
    <row r="6" spans="2:7" ht="20" customHeight="1" x14ac:dyDescent="0.2">
      <c r="B6" s="436" t="s">
        <v>312</v>
      </c>
      <c r="C6" s="298" t="s">
        <v>284</v>
      </c>
      <c r="D6" s="298"/>
      <c r="E6" s="331"/>
      <c r="F6" s="489" t="s">
        <v>311</v>
      </c>
      <c r="G6" s="768"/>
    </row>
    <row r="7" spans="2:7" ht="7" customHeight="1" thickBot="1" x14ac:dyDescent="0.25">
      <c r="B7" s="435"/>
      <c r="C7" s="284"/>
      <c r="D7" s="284"/>
      <c r="E7" s="285"/>
      <c r="F7" s="434"/>
      <c r="G7" s="768"/>
    </row>
    <row r="8" spans="2:7" ht="17" x14ac:dyDescent="0.25">
      <c r="B8" s="435"/>
      <c r="C8" s="510" t="str">
        <f>IF(C9&lt;31,"Pour une série de :  ","Sort du cadre fiscal de l'œuvre d'art")</f>
        <v xml:space="preserve">Pour une série de :  </v>
      </c>
      <c r="D8" s="511"/>
      <c r="E8" s="512"/>
      <c r="F8" s="762" t="s">
        <v>292</v>
      </c>
      <c r="G8" s="768"/>
    </row>
    <row r="9" spans="2:7" ht="20" customHeight="1" thickBot="1" x14ac:dyDescent="0.25">
      <c r="B9" s="436" t="s">
        <v>313</v>
      </c>
      <c r="C9" s="508">
        <v>9</v>
      </c>
      <c r="D9" s="508"/>
      <c r="E9" s="509"/>
      <c r="F9" s="763"/>
      <c r="G9" s="768"/>
    </row>
    <row r="10" spans="2:7" ht="7" customHeight="1" x14ac:dyDescent="0.2">
      <c r="B10" s="437"/>
      <c r="C10" s="423"/>
      <c r="D10" s="423"/>
      <c r="E10" s="424"/>
      <c r="F10" s="759"/>
      <c r="G10" s="768"/>
    </row>
    <row r="11" spans="2:7" ht="16" x14ac:dyDescent="0.2">
      <c r="B11" s="437"/>
      <c r="C11" s="278" t="s">
        <v>64</v>
      </c>
      <c r="D11" s="278" t="s">
        <v>225</v>
      </c>
      <c r="E11" s="442" t="s">
        <v>290</v>
      </c>
      <c r="F11" s="760"/>
      <c r="G11" s="768"/>
    </row>
    <row r="12" spans="2:7" ht="20" customHeight="1" x14ac:dyDescent="0.2">
      <c r="B12" s="436" t="s">
        <v>88</v>
      </c>
      <c r="C12" s="416">
        <v>30</v>
      </c>
      <c r="D12" s="416">
        <v>40</v>
      </c>
      <c r="E12" s="443" t="s">
        <v>291</v>
      </c>
      <c r="F12" s="761" t="s">
        <v>305</v>
      </c>
    </row>
    <row r="13" spans="2:7" ht="20" customHeight="1" x14ac:dyDescent="0.2">
      <c r="B13" s="436" t="s">
        <v>314</v>
      </c>
      <c r="C13" s="333"/>
      <c r="D13" s="423"/>
      <c r="E13" s="424"/>
      <c r="F13" s="761"/>
    </row>
    <row r="14" spans="2:7" ht="8" customHeight="1" x14ac:dyDescent="0.2">
      <c r="B14" s="438"/>
      <c r="C14" s="501" t="s">
        <v>7</v>
      </c>
      <c r="D14" s="502"/>
      <c r="E14" s="424"/>
      <c r="F14" s="761"/>
      <c r="G14" s="768" t="s">
        <v>306</v>
      </c>
    </row>
    <row r="15" spans="2:7" ht="9" customHeight="1" x14ac:dyDescent="0.2">
      <c r="B15" s="499" t="s">
        <v>289</v>
      </c>
      <c r="C15" s="332"/>
      <c r="D15" s="332" t="s">
        <v>284</v>
      </c>
      <c r="E15" s="424"/>
      <c r="F15" s="761"/>
      <c r="G15" s="768"/>
    </row>
    <row r="16" spans="2:7" ht="17" thickBot="1" x14ac:dyDescent="0.25">
      <c r="B16" s="500"/>
      <c r="C16" s="278" t="s">
        <v>226</v>
      </c>
      <c r="D16" s="278" t="s">
        <v>288</v>
      </c>
      <c r="E16" s="425"/>
      <c r="F16" s="761"/>
      <c r="G16" s="768"/>
    </row>
    <row r="17" spans="2:8" ht="20" customHeight="1" thickBot="1" x14ac:dyDescent="0.25">
      <c r="B17" s="436" t="s">
        <v>48</v>
      </c>
      <c r="C17" s="416">
        <f>IF(C15="x",0,SUM('Tableaux de calcul'!M26:M46))</f>
        <v>16.28</v>
      </c>
      <c r="D17" s="416">
        <f>IF(D15="x",0,SUM('Tableaux de calcul'!O26:O46))</f>
        <v>0</v>
      </c>
      <c r="E17" s="444" t="s">
        <v>296</v>
      </c>
      <c r="F17" s="452"/>
      <c r="G17" s="768"/>
    </row>
    <row r="18" spans="2:8" ht="16" x14ac:dyDescent="0.25">
      <c r="B18" s="453" t="s">
        <v>25</v>
      </c>
      <c r="C18" s="454"/>
      <c r="D18" s="454"/>
      <c r="E18" s="455"/>
      <c r="F18" s="515"/>
      <c r="G18" s="768"/>
    </row>
    <row r="19" spans="2:8" ht="16" x14ac:dyDescent="0.25">
      <c r="B19" s="453" t="s">
        <v>24</v>
      </c>
      <c r="C19" s="454"/>
      <c r="D19" s="454"/>
      <c r="E19" s="455"/>
      <c r="F19" s="516"/>
      <c r="G19" s="768"/>
    </row>
    <row r="20" spans="2:8" ht="9" customHeight="1" x14ac:dyDescent="0.2">
      <c r="B20" s="437"/>
      <c r="C20" s="428"/>
      <c r="D20" s="428"/>
      <c r="E20" s="429"/>
      <c r="F20" s="516"/>
      <c r="G20" s="768"/>
    </row>
    <row r="21" spans="2:8" ht="20" customHeight="1" x14ac:dyDescent="0.2">
      <c r="B21" s="439" t="s">
        <v>211</v>
      </c>
      <c r="C21" s="506">
        <f>IF(C9&lt;10,((SUM('Tableaux de calcul'!J26:L46)+(1*F26))+C17+D17),SUM('Tableaux de calcul'!J26:L46)+C17+D17)</f>
        <v>286.27999999999997</v>
      </c>
      <c r="D21" s="507"/>
      <c r="E21" s="430"/>
      <c r="F21" s="516"/>
      <c r="G21" s="768"/>
    </row>
    <row r="22" spans="2:8" ht="17" thickBot="1" x14ac:dyDescent="0.25">
      <c r="B22" s="440"/>
      <c r="C22" s="426"/>
      <c r="D22" s="426"/>
      <c r="E22" s="427"/>
      <c r="F22" s="516"/>
      <c r="G22" s="768"/>
    </row>
    <row r="23" spans="2:8" ht="40" customHeight="1" thickTop="1" thickBot="1" x14ac:dyDescent="0.25">
      <c r="B23" s="496" t="s">
        <v>315</v>
      </c>
      <c r="C23" s="497"/>
      <c r="D23" s="497"/>
      <c r="E23" s="498"/>
      <c r="F23" s="441" t="str">
        <f>IF(C9="","",IF(C9&lt;10,"Pour appliquer une majoration faites une X ci dessous",""))</f>
        <v>Pour appliquer une majoration faites une X ci dessous</v>
      </c>
      <c r="G23" s="768"/>
    </row>
    <row r="24" spans="2:8" ht="14" customHeight="1" x14ac:dyDescent="0.2">
      <c r="B24" s="445" t="s">
        <v>293</v>
      </c>
      <c r="C24" s="447" t="str">
        <f>IF(C9=1,"x","")</f>
        <v/>
      </c>
      <c r="D24" s="447" t="str">
        <f>IF(AND(C9&gt;1,C9&lt;6),"x","")</f>
        <v/>
      </c>
      <c r="E24" s="449" t="str">
        <f>IF(AND(C9&gt;5,C9&lt;10),"x","")</f>
        <v>x</v>
      </c>
      <c r="F24" s="491"/>
    </row>
    <row r="25" spans="2:8" ht="14" customHeight="1" thickBot="1" x14ac:dyDescent="0.25">
      <c r="B25" s="446" t="s">
        <v>294</v>
      </c>
      <c r="C25" s="448" t="str">
        <f>IF(C24="X",300%,"")</f>
        <v/>
      </c>
      <c r="D25" s="448" t="str">
        <f>IF(D24="x",80%,"")</f>
        <v/>
      </c>
      <c r="E25" s="450">
        <f>IF(E24="x",30%,"")</f>
        <v>0.3</v>
      </c>
      <c r="F25" s="492"/>
    </row>
    <row r="26" spans="2:8" ht="45" customHeight="1" thickBot="1" x14ac:dyDescent="0.25">
      <c r="B26" s="517" t="s">
        <v>316</v>
      </c>
      <c r="C26" s="518"/>
      <c r="D26" s="518"/>
      <c r="E26" s="519"/>
      <c r="F26" s="451">
        <f>IF(F24="x",SUM(C25:E25),0)</f>
        <v>0</v>
      </c>
    </row>
    <row r="27" spans="2:8" ht="28" customHeight="1" thickTop="1" thickBot="1" x14ac:dyDescent="0.25">
      <c r="B27" s="493" t="s">
        <v>11</v>
      </c>
      <c r="C27" s="494"/>
      <c r="D27" s="494"/>
      <c r="E27" s="494"/>
      <c r="F27" s="495"/>
    </row>
    <row r="28" spans="2:8" ht="16" customHeight="1" x14ac:dyDescent="0.2">
      <c r="B28" s="764" t="s">
        <v>307</v>
      </c>
      <c r="C28" s="764"/>
      <c r="D28" s="764"/>
      <c r="E28" s="764"/>
      <c r="F28" s="764"/>
      <c r="G28" s="764"/>
      <c r="H28" s="764"/>
    </row>
    <row r="29" spans="2:8" ht="16" customHeight="1" x14ac:dyDescent="0.2">
      <c r="B29" s="765"/>
      <c r="C29" s="765"/>
      <c r="D29" s="765"/>
      <c r="E29" s="765"/>
      <c r="F29" s="765"/>
      <c r="G29" s="765"/>
      <c r="H29" s="765"/>
    </row>
    <row r="30" spans="2:8" ht="16" x14ac:dyDescent="0.2">
      <c r="B30" s="526" t="s">
        <v>297</v>
      </c>
      <c r="C30" s="527"/>
      <c r="D30" s="527"/>
      <c r="E30" s="527"/>
      <c r="F30" s="527"/>
      <c r="G30" s="527"/>
      <c r="H30" s="528"/>
    </row>
    <row r="31" spans="2:8" ht="16" x14ac:dyDescent="0.25">
      <c r="B31" s="474" t="s">
        <v>300</v>
      </c>
      <c r="C31" s="485" t="s">
        <v>298</v>
      </c>
      <c r="D31" s="475" t="s">
        <v>299</v>
      </c>
      <c r="E31" s="485" t="s">
        <v>298</v>
      </c>
      <c r="F31" s="475" t="s">
        <v>299</v>
      </c>
      <c r="G31" s="485" t="s">
        <v>298</v>
      </c>
      <c r="H31" s="476" t="s">
        <v>299</v>
      </c>
    </row>
    <row r="32" spans="2:8" ht="16" x14ac:dyDescent="0.25">
      <c r="B32" s="459">
        <v>1</v>
      </c>
      <c r="C32" s="477"/>
      <c r="D32" s="460">
        <f>C21</f>
        <v>286.27999999999997</v>
      </c>
      <c r="E32" s="481"/>
      <c r="F32" s="461">
        <f>D32</f>
        <v>286.27999999999997</v>
      </c>
      <c r="G32" s="484"/>
      <c r="H32" s="462">
        <f>F32</f>
        <v>286.27999999999997</v>
      </c>
    </row>
    <row r="33" spans="2:8" ht="16" x14ac:dyDescent="0.25">
      <c r="B33" s="463">
        <v>2</v>
      </c>
      <c r="C33" s="478">
        <v>0.1</v>
      </c>
      <c r="D33" s="464">
        <f>D32*(1+C33)</f>
        <v>314.90800000000002</v>
      </c>
      <c r="E33" s="482">
        <v>0.12</v>
      </c>
      <c r="F33" s="464">
        <f>F32*(1+E33)</f>
        <v>320.6336</v>
      </c>
      <c r="G33" s="482">
        <v>0.15</v>
      </c>
      <c r="H33" s="465">
        <f>H32*(1+G33)</f>
        <v>329.22199999999992</v>
      </c>
    </row>
    <row r="34" spans="2:8" ht="16" x14ac:dyDescent="0.25">
      <c r="B34" s="463">
        <v>3</v>
      </c>
      <c r="C34" s="478"/>
      <c r="D34" s="464">
        <f t="shared" ref="D34:D46" si="0">D33*(1+C34)</f>
        <v>314.90800000000002</v>
      </c>
      <c r="E34" s="482"/>
      <c r="F34" s="464">
        <f t="shared" ref="F34:F41" si="1">F33*(1+E34)</f>
        <v>320.6336</v>
      </c>
      <c r="G34" s="482">
        <v>0.2</v>
      </c>
      <c r="H34" s="465">
        <f t="shared" ref="H34:H36" si="2">H33*(1+G34)</f>
        <v>395.06639999999987</v>
      </c>
    </row>
    <row r="35" spans="2:8" ht="16" x14ac:dyDescent="0.25">
      <c r="B35" s="463">
        <v>4</v>
      </c>
      <c r="C35" s="478"/>
      <c r="D35" s="464">
        <f t="shared" si="0"/>
        <v>314.90800000000002</v>
      </c>
      <c r="E35" s="482">
        <v>0.15</v>
      </c>
      <c r="F35" s="464">
        <f t="shared" si="1"/>
        <v>368.72863999999998</v>
      </c>
      <c r="G35" s="482">
        <v>0.3</v>
      </c>
      <c r="H35" s="465">
        <f t="shared" si="2"/>
        <v>513.58631999999989</v>
      </c>
    </row>
    <row r="36" spans="2:8" ht="16" x14ac:dyDescent="0.25">
      <c r="B36" s="466">
        <v>5</v>
      </c>
      <c r="C36" s="479">
        <v>0.12</v>
      </c>
      <c r="D36" s="467">
        <f t="shared" si="0"/>
        <v>352.69696000000005</v>
      </c>
      <c r="E36" s="483"/>
      <c r="F36" s="467">
        <f t="shared" si="1"/>
        <v>368.72863999999998</v>
      </c>
      <c r="G36" s="483">
        <v>0.4</v>
      </c>
      <c r="H36" s="468">
        <f t="shared" si="2"/>
        <v>719.02084799999977</v>
      </c>
    </row>
    <row r="37" spans="2:8" ht="16" x14ac:dyDescent="0.25">
      <c r="B37" s="463">
        <v>6</v>
      </c>
      <c r="C37" s="478"/>
      <c r="D37" s="464">
        <f t="shared" si="0"/>
        <v>352.69696000000005</v>
      </c>
      <c r="E37" s="482">
        <v>0.2</v>
      </c>
      <c r="F37" s="464">
        <f t="shared" si="1"/>
        <v>442.47436799999997</v>
      </c>
      <c r="G37" s="469"/>
      <c r="H37" s="470"/>
    </row>
    <row r="38" spans="2:8" ht="16" x14ac:dyDescent="0.25">
      <c r="B38" s="463">
        <v>7</v>
      </c>
      <c r="C38" s="478"/>
      <c r="D38" s="464">
        <f t="shared" si="0"/>
        <v>352.69696000000005</v>
      </c>
      <c r="E38" s="482"/>
      <c r="F38" s="464">
        <f t="shared" si="1"/>
        <v>442.47436799999997</v>
      </c>
      <c r="G38" s="469"/>
      <c r="H38" s="470"/>
    </row>
    <row r="39" spans="2:8" ht="16" x14ac:dyDescent="0.25">
      <c r="B39" s="463">
        <v>8</v>
      </c>
      <c r="C39" s="478">
        <v>0.14000000000000001</v>
      </c>
      <c r="D39" s="464">
        <f t="shared" si="0"/>
        <v>402.07453440000012</v>
      </c>
      <c r="E39" s="482">
        <v>0.3</v>
      </c>
      <c r="F39" s="464">
        <f t="shared" si="1"/>
        <v>575.21667839999998</v>
      </c>
      <c r="G39" s="469"/>
      <c r="H39" s="470"/>
    </row>
    <row r="40" spans="2:8" ht="16" x14ac:dyDescent="0.25">
      <c r="B40" s="463">
        <v>9</v>
      </c>
      <c r="C40" s="478"/>
      <c r="D40" s="464">
        <f t="shared" si="0"/>
        <v>402.07453440000012</v>
      </c>
      <c r="E40" s="482"/>
      <c r="F40" s="464">
        <f t="shared" si="1"/>
        <v>575.21667839999998</v>
      </c>
      <c r="G40" s="469"/>
      <c r="H40" s="470"/>
    </row>
    <row r="41" spans="2:8" ht="16" x14ac:dyDescent="0.25">
      <c r="B41" s="466">
        <v>10</v>
      </c>
      <c r="C41" s="479">
        <v>0.16</v>
      </c>
      <c r="D41" s="467">
        <f t="shared" si="0"/>
        <v>466.40645990400009</v>
      </c>
      <c r="E41" s="483"/>
      <c r="F41" s="467">
        <f t="shared" si="1"/>
        <v>575.21667839999998</v>
      </c>
      <c r="G41" s="469"/>
      <c r="H41" s="470"/>
    </row>
    <row r="42" spans="2:8" ht="16" x14ac:dyDescent="0.25">
      <c r="B42" s="463">
        <v>11</v>
      </c>
      <c r="C42" s="478"/>
      <c r="D42" s="464">
        <f t="shared" si="0"/>
        <v>466.40645990400009</v>
      </c>
      <c r="E42" s="469"/>
      <c r="F42" s="469"/>
      <c r="G42" s="469"/>
      <c r="H42" s="470"/>
    </row>
    <row r="43" spans="2:8" ht="16" customHeight="1" x14ac:dyDescent="0.25">
      <c r="B43" s="463">
        <v>12</v>
      </c>
      <c r="C43" s="478"/>
      <c r="D43" s="464">
        <f t="shared" si="0"/>
        <v>466.40645990400009</v>
      </c>
      <c r="E43" s="469"/>
      <c r="F43" s="520" t="s">
        <v>301</v>
      </c>
      <c r="G43" s="520"/>
      <c r="H43" s="521"/>
    </row>
    <row r="44" spans="2:8" ht="16" x14ac:dyDescent="0.25">
      <c r="B44" s="463">
        <v>13</v>
      </c>
      <c r="C44" s="478">
        <v>0.18</v>
      </c>
      <c r="D44" s="464">
        <f t="shared" si="0"/>
        <v>550.35962268672006</v>
      </c>
      <c r="E44" s="469"/>
      <c r="F44" s="522"/>
      <c r="G44" s="522"/>
      <c r="H44" s="523"/>
    </row>
    <row r="45" spans="2:8" ht="16" x14ac:dyDescent="0.25">
      <c r="B45" s="463">
        <v>14</v>
      </c>
      <c r="C45" s="478"/>
      <c r="D45" s="464">
        <f t="shared" si="0"/>
        <v>550.35962268672006</v>
      </c>
      <c r="E45" s="469"/>
      <c r="F45" s="522"/>
      <c r="G45" s="522"/>
      <c r="H45" s="523"/>
    </row>
    <row r="46" spans="2:8" ht="16" x14ac:dyDescent="0.25">
      <c r="B46" s="471">
        <v>15</v>
      </c>
      <c r="C46" s="480"/>
      <c r="D46" s="472">
        <f t="shared" si="0"/>
        <v>550.35962268672006</v>
      </c>
      <c r="E46" s="473"/>
      <c r="F46" s="524"/>
      <c r="G46" s="524"/>
      <c r="H46" s="525"/>
    </row>
    <row r="47" spans="2:8" x14ac:dyDescent="0.2">
      <c r="B47" s="766" t="s">
        <v>308</v>
      </c>
      <c r="C47" s="766"/>
      <c r="D47" s="766"/>
      <c r="E47" s="766"/>
      <c r="F47" s="766"/>
      <c r="G47" s="766"/>
      <c r="H47" s="766"/>
    </row>
    <row r="48" spans="2:8" ht="16" customHeight="1" x14ac:dyDescent="0.2">
      <c r="B48" s="767"/>
      <c r="C48" s="767"/>
      <c r="D48" s="767"/>
      <c r="E48" s="767"/>
      <c r="F48" s="767"/>
      <c r="G48" s="767"/>
      <c r="H48" s="767"/>
    </row>
    <row r="49" spans="2:4" ht="16" x14ac:dyDescent="0.2">
      <c r="B49" s="277"/>
      <c r="C49" s="457"/>
      <c r="D49" s="458"/>
    </row>
    <row r="50" spans="2:4" ht="16" x14ac:dyDescent="0.2">
      <c r="B50" s="277"/>
      <c r="C50" s="457"/>
      <c r="D50" s="458"/>
    </row>
    <row r="51" spans="2:4" ht="16" x14ac:dyDescent="0.2">
      <c r="B51" s="277"/>
      <c r="C51" s="457"/>
      <c r="D51" s="458"/>
    </row>
    <row r="52" spans="2:4" ht="16" x14ac:dyDescent="0.2">
      <c r="B52" s="277"/>
      <c r="C52" s="457"/>
      <c r="D52" s="458"/>
    </row>
    <row r="53" spans="2:4" ht="16" x14ac:dyDescent="0.2">
      <c r="B53" s="277"/>
      <c r="C53" s="457"/>
      <c r="D53" s="458"/>
    </row>
    <row r="54" spans="2:4" ht="16" x14ac:dyDescent="0.2">
      <c r="B54" s="277"/>
      <c r="C54" s="457"/>
      <c r="D54" s="458"/>
    </row>
    <row r="55" spans="2:4" ht="16" x14ac:dyDescent="0.2">
      <c r="B55" s="277"/>
      <c r="C55" s="457"/>
      <c r="D55" s="458"/>
    </row>
    <row r="56" spans="2:4" ht="16" x14ac:dyDescent="0.2">
      <c r="B56" s="277"/>
      <c r="C56" s="457"/>
      <c r="D56" s="458"/>
    </row>
    <row r="57" spans="2:4" ht="16" x14ac:dyDescent="0.2">
      <c r="B57" s="277"/>
      <c r="C57" s="457"/>
      <c r="D57" s="458"/>
    </row>
    <row r="58" spans="2:4" ht="16" x14ac:dyDescent="0.2">
      <c r="B58" s="277"/>
      <c r="C58" s="457"/>
      <c r="D58" s="458"/>
    </row>
    <row r="59" spans="2:4" ht="16" x14ac:dyDescent="0.2">
      <c r="B59" s="277"/>
      <c r="C59" s="457"/>
      <c r="D59" s="458"/>
    </row>
    <row r="60" spans="2:4" ht="16" x14ac:dyDescent="0.2">
      <c r="B60" s="277"/>
      <c r="C60" s="457"/>
      <c r="D60" s="458"/>
    </row>
    <row r="61" spans="2:4" ht="16" x14ac:dyDescent="0.2">
      <c r="B61" s="277"/>
      <c r="C61" s="457"/>
      <c r="D61" s="458"/>
    </row>
  </sheetData>
  <mergeCells count="20">
    <mergeCell ref="F43:H46"/>
    <mergeCell ref="B30:H30"/>
    <mergeCell ref="G2:G11"/>
    <mergeCell ref="G14:G23"/>
    <mergeCell ref="B28:H29"/>
    <mergeCell ref="B47:H48"/>
    <mergeCell ref="B3:E3"/>
    <mergeCell ref="C21:D21"/>
    <mergeCell ref="C9:E9"/>
    <mergeCell ref="C8:E8"/>
    <mergeCell ref="B4:C4"/>
    <mergeCell ref="F8:F9"/>
    <mergeCell ref="F24:F25"/>
    <mergeCell ref="B27:F27"/>
    <mergeCell ref="F12:F16"/>
    <mergeCell ref="B23:E23"/>
    <mergeCell ref="B15:B16"/>
    <mergeCell ref="C14:D14"/>
    <mergeCell ref="F18:F22"/>
    <mergeCell ref="B26:E26"/>
  </mergeCells>
  <phoneticPr fontId="9" type="noConversion"/>
  <conditionalFormatting sqref="F26">
    <cfRule type="cellIs" dxfId="14" priority="3" stopIfTrue="1" operator="equal">
      <formula>"""Voulez-vous appliquer une majoration?"""</formula>
    </cfRule>
  </conditionalFormatting>
  <conditionalFormatting sqref="F23:F24">
    <cfRule type="cellIs" dxfId="13" priority="4" stopIfTrue="1" operator="equal">
      <formula>"Pour appliquer une majoration faites une X ci dessous"</formula>
    </cfRule>
  </conditionalFormatting>
  <conditionalFormatting sqref="C8:E8">
    <cfRule type="containsText" dxfId="12" priority="1" operator="containsText" text="Sort du cadre fiscal de l'œuvre d'art">
      <formula>NOT(ISERROR(SEARCH("Sort du cadre fiscal de l'œuvre d'art",C8)))</formula>
    </cfRule>
  </conditionalFormatting>
  <pageMargins left="0.60000000000000009" right="0.5" top="0.984251969" bottom="0.984251969" header="0.5" footer="0.5"/>
  <pageSetup paperSize="10" scale="81" orientation="portrait" horizontalDpi="4294967292" verticalDpi="4294967292"/>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5"/>
  <sheetViews>
    <sheetView showGridLines="0" zoomScale="125" zoomScaleNormal="125" workbookViewId="0">
      <selection activeCell="B10" sqref="B10"/>
    </sheetView>
  </sheetViews>
  <sheetFormatPr baseColWidth="10" defaultRowHeight="12" x14ac:dyDescent="0.15"/>
  <cols>
    <col min="1" max="1" width="21" style="1" customWidth="1"/>
    <col min="2" max="2" width="25" style="1" customWidth="1"/>
    <col min="3" max="3" width="11.5" style="1" customWidth="1"/>
    <col min="4" max="4" width="5.1640625" style="1" customWidth="1"/>
    <col min="5" max="5" width="12" style="1" customWidth="1"/>
    <col min="6" max="6" width="13.33203125" style="1" customWidth="1"/>
    <col min="7" max="16384" width="10.83203125" style="1"/>
  </cols>
  <sheetData>
    <row r="1" spans="1:13" ht="22" customHeight="1" x14ac:dyDescent="0.2">
      <c r="A1" s="24" t="s">
        <v>19</v>
      </c>
    </row>
    <row r="2" spans="1:13" ht="18" x14ac:dyDescent="0.2">
      <c r="A2" s="24" t="s">
        <v>29</v>
      </c>
      <c r="C2" s="18" t="s">
        <v>141</v>
      </c>
      <c r="D2" s="18"/>
    </row>
    <row r="3" spans="1:13" ht="16" x14ac:dyDescent="0.2">
      <c r="A3" s="25" t="s">
        <v>136</v>
      </c>
      <c r="C3" s="19" t="s">
        <v>101</v>
      </c>
      <c r="D3" s="19"/>
    </row>
    <row r="4" spans="1:13" ht="13" x14ac:dyDescent="0.15">
      <c r="A4" s="19" t="s">
        <v>30</v>
      </c>
      <c r="B4" s="2"/>
      <c r="C4" s="19" t="s">
        <v>30</v>
      </c>
      <c r="D4" s="19"/>
    </row>
    <row r="5" spans="1:13" ht="14" x14ac:dyDescent="0.15">
      <c r="A5" s="17" t="s">
        <v>189</v>
      </c>
      <c r="C5" s="19" t="s">
        <v>145</v>
      </c>
      <c r="D5" s="19"/>
    </row>
    <row r="6" spans="1:13" ht="13" x14ac:dyDescent="0.15">
      <c r="A6" s="5" t="s">
        <v>147</v>
      </c>
      <c r="B6" s="2"/>
    </row>
    <row r="7" spans="1:13" ht="13" x14ac:dyDescent="0.2">
      <c r="A7" s="10" t="s">
        <v>187</v>
      </c>
      <c r="B7" s="1" t="s">
        <v>100</v>
      </c>
      <c r="C7" s="529" t="s">
        <v>20</v>
      </c>
      <c r="D7" s="529"/>
      <c r="E7" s="530"/>
      <c r="F7" s="530"/>
      <c r="M7" s="1" t="s">
        <v>134</v>
      </c>
    </row>
    <row r="8" spans="1:13" ht="13" x14ac:dyDescent="0.2">
      <c r="A8" s="10" t="s">
        <v>188</v>
      </c>
      <c r="B8" s="1" t="s">
        <v>190</v>
      </c>
      <c r="C8" s="531"/>
      <c r="D8" s="532"/>
      <c r="E8" s="533"/>
      <c r="F8" s="534"/>
    </row>
    <row r="9" spans="1:13" x14ac:dyDescent="0.15">
      <c r="A9" s="10" t="s">
        <v>146</v>
      </c>
      <c r="B9" s="32" t="s">
        <v>21</v>
      </c>
      <c r="C9" s="34" t="s">
        <v>27</v>
      </c>
      <c r="D9" s="34"/>
      <c r="E9" s="34"/>
      <c r="F9" s="33"/>
    </row>
    <row r="10" spans="1:13" x14ac:dyDescent="0.15">
      <c r="A10" s="10" t="s">
        <v>22</v>
      </c>
      <c r="B10" s="32" t="s">
        <v>192</v>
      </c>
      <c r="C10" s="35"/>
      <c r="D10" s="35"/>
      <c r="E10" s="35"/>
      <c r="F10" s="35"/>
    </row>
    <row r="11" spans="1:13" x14ac:dyDescent="0.15">
      <c r="A11" s="5"/>
    </row>
    <row r="12" spans="1:13" ht="16" x14ac:dyDescent="0.2">
      <c r="A12" s="43" t="s">
        <v>231</v>
      </c>
      <c r="B12" s="8" t="s">
        <v>95</v>
      </c>
    </row>
    <row r="13" spans="1:13" x14ac:dyDescent="0.15">
      <c r="A13" s="9" t="s">
        <v>158</v>
      </c>
      <c r="B13" s="26">
        <f ca="1">TODAY()</f>
        <v>43238</v>
      </c>
      <c r="C13" s="3"/>
      <c r="D13" s="3"/>
      <c r="E13" s="3"/>
    </row>
    <row r="14" spans="1:13" s="12" customFormat="1" ht="17" customHeight="1" x14ac:dyDescent="0.2">
      <c r="B14" s="28"/>
      <c r="C14" s="28"/>
      <c r="D14" s="28"/>
      <c r="E14" s="28"/>
    </row>
    <row r="15" spans="1:13" s="44" customFormat="1" ht="20" customHeight="1" x14ac:dyDescent="0.2">
      <c r="A15" s="538" t="s">
        <v>178</v>
      </c>
      <c r="B15" s="539"/>
      <c r="C15" s="539"/>
      <c r="D15" s="539"/>
      <c r="E15" s="539"/>
      <c r="F15" s="539"/>
    </row>
    <row r="16" spans="1:13" s="44" customFormat="1" ht="20" customHeight="1" x14ac:dyDescent="0.2">
      <c r="A16" s="535" t="s">
        <v>98</v>
      </c>
      <c r="B16" s="535"/>
      <c r="C16" s="535"/>
      <c r="D16" s="535"/>
      <c r="E16" s="535"/>
      <c r="F16" s="535"/>
    </row>
    <row r="17" spans="1:6" ht="22" customHeight="1" x14ac:dyDescent="0.15">
      <c r="A17" s="536" t="s">
        <v>260</v>
      </c>
      <c r="B17" s="536"/>
      <c r="C17" s="536"/>
      <c r="D17" s="536"/>
      <c r="E17" s="536"/>
      <c r="F17" s="536"/>
    </row>
    <row r="18" spans="1:6" ht="77" customHeight="1" x14ac:dyDescent="0.15">
      <c r="A18" s="537"/>
      <c r="B18" s="537"/>
      <c r="C18" s="537"/>
      <c r="D18" s="537"/>
      <c r="E18" s="537"/>
      <c r="F18" s="537"/>
    </row>
    <row r="19" spans="1:6" ht="30" customHeight="1" x14ac:dyDescent="0.15">
      <c r="B19" s="50" t="s">
        <v>16</v>
      </c>
      <c r="C19" s="84">
        <f>'Tableaux de calcul'!I22</f>
        <v>9</v>
      </c>
      <c r="D19" s="81" t="s">
        <v>67</v>
      </c>
      <c r="E19" s="36"/>
      <c r="F19" s="80"/>
    </row>
    <row r="20" spans="1:6" ht="25" customHeight="1" x14ac:dyDescent="0.15">
      <c r="B20" s="50" t="s">
        <v>18</v>
      </c>
      <c r="C20" s="84">
        <v>0</v>
      </c>
      <c r="D20" s="84" t="s">
        <v>17</v>
      </c>
      <c r="E20" s="84">
        <f>C19</f>
        <v>9</v>
      </c>
      <c r="F20" s="80"/>
    </row>
    <row r="21" spans="1:6" ht="32" customHeight="1" x14ac:dyDescent="0.15">
      <c r="B21" s="37" t="s">
        <v>91</v>
      </c>
      <c r="C21" s="82">
        <f>'Tableaux de calcul'!E16</f>
        <v>30</v>
      </c>
      <c r="D21" s="84" t="s">
        <v>15</v>
      </c>
      <c r="E21" s="83">
        <f>'Tableaux de calcul'!G16</f>
        <v>40</v>
      </c>
      <c r="F21" s="4"/>
    </row>
    <row r="22" spans="1:6" ht="17" customHeight="1" x14ac:dyDescent="0.15">
      <c r="A22" s="45" t="s">
        <v>159</v>
      </c>
      <c r="B22" s="12"/>
      <c r="C22" s="21"/>
      <c r="D22" s="21"/>
      <c r="E22" s="22"/>
      <c r="F22" s="4"/>
    </row>
    <row r="23" spans="1:6" ht="17" customHeight="1" x14ac:dyDescent="0.15">
      <c r="A23" s="12" t="s">
        <v>85</v>
      </c>
      <c r="B23" s="16" t="s">
        <v>52</v>
      </c>
      <c r="C23" s="16"/>
      <c r="D23" s="16"/>
      <c r="E23" s="30"/>
      <c r="F23" s="31"/>
    </row>
    <row r="24" spans="1:6" ht="17" customHeight="1" x14ac:dyDescent="0.15">
      <c r="A24" s="46" t="s">
        <v>150</v>
      </c>
      <c r="B24" s="46" t="s">
        <v>92</v>
      </c>
      <c r="C24" s="46"/>
      <c r="D24" s="48"/>
      <c r="E24" s="36"/>
      <c r="F24" s="36"/>
    </row>
    <row r="25" spans="1:6" ht="17" customHeight="1" x14ac:dyDescent="0.15">
      <c r="A25" s="46" t="s">
        <v>133</v>
      </c>
      <c r="B25" s="46" t="s">
        <v>42</v>
      </c>
      <c r="C25" s="46"/>
      <c r="D25" s="48"/>
      <c r="E25" s="36"/>
      <c r="F25" s="36"/>
    </row>
    <row r="26" spans="1:6" ht="17" customHeight="1" x14ac:dyDescent="0.15">
      <c r="A26" s="47" t="s">
        <v>43</v>
      </c>
      <c r="B26" s="48" t="s">
        <v>135</v>
      </c>
      <c r="C26" s="48"/>
      <c r="D26" s="48"/>
      <c r="E26" s="36" t="str">
        <f>IF('EVALUER VOS OEUVRES'!E16="x","Prix du cadre","")</f>
        <v/>
      </c>
      <c r="F26" s="300">
        <f>IF('EVALUER VOS OEUVRES'!F17="x",'EVALUER VOS OEUVRES'!D17,0)</f>
        <v>0</v>
      </c>
    </row>
    <row r="27" spans="1:6" ht="21" customHeight="1" x14ac:dyDescent="0.15">
      <c r="A27" s="11"/>
      <c r="B27" s="12"/>
      <c r="C27" s="23"/>
      <c r="D27" s="23"/>
      <c r="E27" s="22"/>
      <c r="F27" s="15"/>
    </row>
    <row r="28" spans="1:6" s="12" customFormat="1" ht="20" customHeight="1" x14ac:dyDescent="0.2">
      <c r="A28" s="27"/>
      <c r="B28" s="49"/>
      <c r="C28" s="49"/>
      <c r="D28" s="49"/>
      <c r="E28" s="50" t="s">
        <v>137</v>
      </c>
      <c r="F28" s="51">
        <f>IF(F26&gt;0,'EVALUER VOS OEUVRES'!C21-F26,'EVALUER VOS OEUVRES'!C21)</f>
        <v>286.27999999999997</v>
      </c>
    </row>
    <row r="29" spans="1:6" ht="20" customHeight="1" x14ac:dyDescent="0.2">
      <c r="B29" s="49"/>
      <c r="C29" s="49"/>
      <c r="D29" s="49"/>
      <c r="E29" s="59" t="s">
        <v>82</v>
      </c>
      <c r="F29" s="302"/>
    </row>
    <row r="30" spans="1:6" ht="19" customHeight="1" x14ac:dyDescent="0.2">
      <c r="A30" s="11"/>
      <c r="B30" s="49"/>
      <c r="C30" s="49"/>
      <c r="D30" s="49"/>
      <c r="E30" s="52" t="str">
        <f>IF(B10="franchise de TVA","TOTAL NET DE TVA","TOTAL HT")</f>
        <v>TOTAL HT</v>
      </c>
      <c r="F30" s="303">
        <f>F28+F26+F29</f>
        <v>286.27999999999997</v>
      </c>
    </row>
    <row r="31" spans="1:6" ht="19" customHeight="1" x14ac:dyDescent="0.15">
      <c r="A31" s="11"/>
      <c r="B31" s="49"/>
      <c r="C31" s="54" t="str">
        <f>IF(B10="franchise","","TVA Taux réduit  (1)")</f>
        <v/>
      </c>
      <c r="D31" s="54"/>
      <c r="E31" s="55" t="str">
        <f>IF(B10="franchise","",5.5%)</f>
        <v/>
      </c>
      <c r="F31" s="56">
        <f>IF(B10="franchise",0,IF(F9="export","exo export",IF(AND(F9="UE",C8&lt;&gt;0),"exo UE",F28*E31)))</f>
        <v>0</v>
      </c>
    </row>
    <row r="32" spans="1:6" ht="19" customHeight="1" x14ac:dyDescent="0.15">
      <c r="A32" s="11"/>
      <c r="B32" s="49"/>
      <c r="C32" s="54" t="str">
        <f>IF(B10="franchise","","TVA Taux plein (2)")</f>
        <v/>
      </c>
      <c r="D32" s="54"/>
      <c r="E32" s="55" t="str">
        <f>IF(B10="franchise","",20%)</f>
        <v/>
      </c>
      <c r="F32" s="56">
        <f>IF(B10="franchise",0,IF(F9="export","exo export",IF(AND(F9="UE",C8&lt;&gt;0),"exo UE",(F29*E32)+(F26*E32))))</f>
        <v>0</v>
      </c>
    </row>
    <row r="33" spans="1:6" ht="19" customHeight="1" x14ac:dyDescent="0.15">
      <c r="B33" s="49"/>
      <c r="C33" s="57"/>
      <c r="D33" s="57"/>
      <c r="E33" s="52" t="str">
        <f>IF(B10="franchise","","TOTAL TTC")</f>
        <v/>
      </c>
      <c r="F33" s="58">
        <f>IF(B10="Franchise",0,IF(F9="export","exo export",IF(AND(F9="UE",C8&lt;&gt;0),"exo UE",(SUM(F30:F32)))))</f>
        <v>0</v>
      </c>
    </row>
    <row r="34" spans="1:6" ht="16" x14ac:dyDescent="0.2">
      <c r="A34" s="20"/>
      <c r="B34" s="38" t="str">
        <f>IF(B10="Franchise","TVA NON APPLICABLE, Art 293 b du CGI",IF(C8&lt;&gt;0,"Autoliquidation-Exonération art.283-2 du CGI",IF(F9="export","Exportation éxonérée de TVA","TVA acquittée sur les encaissements")))</f>
        <v>TVA NON APPLICABLE, Art 293 b du CGI</v>
      </c>
      <c r="C34" s="41"/>
      <c r="D34" s="41"/>
      <c r="E34" s="42"/>
      <c r="F34" s="40"/>
    </row>
    <row r="35" spans="1:6" ht="13" x14ac:dyDescent="0.2">
      <c r="A35" s="5"/>
      <c r="B35" s="39" t="s">
        <v>23</v>
      </c>
      <c r="C35"/>
      <c r="D35"/>
      <c r="E35"/>
      <c r="F35"/>
    </row>
    <row r="36" spans="1:6" s="6" customFormat="1" ht="16" customHeight="1" x14ac:dyDescent="0.15">
      <c r="A36" s="7"/>
    </row>
    <row r="37" spans="1:6" s="6" customFormat="1" ht="10" customHeight="1" x14ac:dyDescent="0.15">
      <c r="A37" s="7"/>
    </row>
    <row r="38" spans="1:6" s="6" customFormat="1" ht="10" customHeight="1" x14ac:dyDescent="0.15">
      <c r="A38" s="7"/>
    </row>
    <row r="39" spans="1:6" s="6" customFormat="1" ht="10" customHeight="1" x14ac:dyDescent="0.15">
      <c r="A39" s="7"/>
    </row>
    <row r="40" spans="1:6" s="6" customFormat="1" ht="10" customHeight="1" x14ac:dyDescent="0.15">
      <c r="A40" s="7"/>
    </row>
    <row r="41" spans="1:6" s="6" customFormat="1" ht="10" customHeight="1" x14ac:dyDescent="0.15"/>
    <row r="42" spans="1:6" s="6" customFormat="1" ht="10" customHeight="1" x14ac:dyDescent="0.15"/>
    <row r="43" spans="1:6" ht="8" customHeight="1" x14ac:dyDescent="0.15">
      <c r="A43" s="13"/>
      <c r="B43" s="12"/>
      <c r="C43" s="12"/>
      <c r="D43" s="12"/>
      <c r="E43" s="12"/>
      <c r="F43" s="12"/>
    </row>
    <row r="44" spans="1:6" s="12" customFormat="1" ht="12" customHeight="1" x14ac:dyDescent="0.2">
      <c r="A44" s="29"/>
      <c r="F44" s="14"/>
    </row>
    <row r="45" spans="1:6" ht="17" customHeight="1" x14ac:dyDescent="0.15"/>
  </sheetData>
  <mergeCells count="6">
    <mergeCell ref="C7:F7"/>
    <mergeCell ref="C8:F8"/>
    <mergeCell ref="A16:F16"/>
    <mergeCell ref="A17:F17"/>
    <mergeCell ref="A18:F18"/>
    <mergeCell ref="A15:F15"/>
  </mergeCells>
  <phoneticPr fontId="3" type="noConversion"/>
  <conditionalFormatting sqref="F31:F33 F26">
    <cfRule type="cellIs" dxfId="11" priority="1" stopIfTrue="1" operator="equal">
      <formula>0</formula>
    </cfRule>
  </conditionalFormatting>
  <printOptions horizontalCentered="1" verticalCentered="1"/>
  <pageMargins left="0.39370078740157483" right="0.39370078740157483" top="0.4" bottom="0.51111111111111107" header="0.32" footer="0.44444444444444442"/>
  <pageSetup paperSize="0" orientation="portrait" horizontalDpi="4294967294" verticalDpi="4294967294"/>
  <headerFooter alignWithMargins="0"/>
  <ignoredErrors>
    <ignoredError sqref="B34 E30:E33 C31:C33 F33" emptyCellReference="1"/>
  </ignoredErrors>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D19"/>
  <sheetViews>
    <sheetView showGridLines="0" zoomScaleNormal="100" workbookViewId="0">
      <selection activeCell="E8" sqref="E8"/>
    </sheetView>
  </sheetViews>
  <sheetFormatPr baseColWidth="10" defaultRowHeight="13" x14ac:dyDescent="0.2"/>
  <cols>
    <col min="1" max="1" width="13.1640625" customWidth="1"/>
    <col min="2" max="2" width="43.83203125" customWidth="1"/>
    <col min="3" max="3" width="62" customWidth="1"/>
  </cols>
  <sheetData>
    <row r="1" spans="1:4" s="60" customFormat="1" ht="28" customHeight="1" x14ac:dyDescent="0.2">
      <c r="B1" s="70" t="str">
        <f>'Vente d''oeuvre'!A1&amp;" "&amp;'Vente d''oeuvre'!A2</f>
        <v>Léo PERATEUR</v>
      </c>
      <c r="C1" s="71" t="str">
        <f>'Vente d''oeuvre'!A3</f>
        <v>Artiste - Auteur - Photographe</v>
      </c>
    </row>
    <row r="2" spans="1:4" s="60" customFormat="1" ht="20" customHeight="1" x14ac:dyDescent="0.2">
      <c r="B2" s="661" t="str">
        <f>'Vente d''oeuvre'!A8&amp; " "&amp;'Vente d''oeuvre'!B8</f>
        <v>N°siret : 000 000 000 00000</v>
      </c>
      <c r="C2" s="661"/>
    </row>
    <row r="3" spans="1:4" s="69" customFormat="1" ht="20" customHeight="1" x14ac:dyDescent="0.2">
      <c r="B3" s="662" t="str">
        <f>'Vente d''oeuvre'!A4&amp;" "&amp;'Vente d''oeuvre'!A5&amp;" "&amp;"Téléphone:  "&amp;"  "&amp;" Mail:"</f>
        <v>00, rue …. 00000 VILLE Téléphone:     Mail:</v>
      </c>
      <c r="C3" s="662"/>
    </row>
    <row r="5" spans="1:4" ht="46" customHeight="1" x14ac:dyDescent="0.2">
      <c r="A5" s="77"/>
      <c r="B5" s="663" t="s">
        <v>39</v>
      </c>
      <c r="C5" s="664"/>
      <c r="D5" s="77"/>
    </row>
    <row r="6" spans="1:4" ht="26" customHeight="1" x14ac:dyDescent="0.2">
      <c r="B6" s="76"/>
      <c r="C6" s="68"/>
    </row>
    <row r="7" spans="1:4" ht="39" customHeight="1" x14ac:dyDescent="0.2">
      <c r="C7" s="73" t="str">
        <f>"Le présent certificat atteste que cette photographie a été prise à (lieu) en (mois/année) par :"&amp;" "&amp;'Vente d''oeuvre'!A1&amp;" "&amp;'Vente d''oeuvre'!A2</f>
        <v>Le présent certificat atteste que cette photographie a été prise à (lieu) en (mois/année) par : Léo PERATEUR</v>
      </c>
    </row>
    <row r="8" spans="1:4" ht="34" customHeight="1" x14ac:dyDescent="0.2">
      <c r="C8" s="72" t="s">
        <v>127</v>
      </c>
    </row>
    <row r="9" spans="1:4" ht="18" customHeight="1" x14ac:dyDescent="0.2">
      <c r="C9" s="72" t="str">
        <f>"Ce tirage au format de "&amp; 'Vente d''oeuvre'!C21&amp;" cm x "&amp; 'Vente d''oeuvre'!E21&amp;" cm"</f>
        <v>Ce tirage au format de 30 cm x 40 cm</v>
      </c>
    </row>
    <row r="10" spans="1:4" ht="20" customHeight="1" x14ac:dyDescent="0.2">
      <c r="C10" s="72" t="s">
        <v>128</v>
      </c>
    </row>
    <row r="11" spans="1:4" ht="20" customHeight="1" x14ac:dyDescent="0.2">
      <c r="C11" s="72" t="str">
        <f>"Son numéro est le N° "&amp;'Vente d''oeuvre'!C20&amp;" d’une série limitée à "&amp; 'Vente d''oeuvre'!C19&amp;" tirages."</f>
        <v>Son numéro est le N° 0 d’une série limitée à 9 tirages.</v>
      </c>
    </row>
    <row r="12" spans="1:4" ht="20" customHeight="1" x14ac:dyDescent="0.2">
      <c r="C12" s="72" t="s">
        <v>99</v>
      </c>
    </row>
    <row r="13" spans="1:4" ht="52" customHeight="1" x14ac:dyDescent="0.2">
      <c r="C13" s="85" t="s">
        <v>253</v>
      </c>
    </row>
    <row r="14" spans="1:4" ht="65" customHeight="1" x14ac:dyDescent="0.2">
      <c r="C14" s="85" t="s">
        <v>49</v>
      </c>
    </row>
    <row r="15" spans="1:4" ht="20" customHeight="1" x14ac:dyDescent="0.2">
      <c r="C15" s="72" t="s">
        <v>50</v>
      </c>
    </row>
    <row r="16" spans="1:4" ht="17" x14ac:dyDescent="0.2">
      <c r="B16" s="74" t="s">
        <v>26</v>
      </c>
      <c r="C16" s="75" t="s">
        <v>51</v>
      </c>
    </row>
    <row r="17" spans="1:4" ht="55" customHeight="1" x14ac:dyDescent="0.2"/>
    <row r="18" spans="1:4" x14ac:dyDescent="0.2">
      <c r="A18" s="78"/>
      <c r="B18" s="78"/>
      <c r="C18" s="78"/>
      <c r="D18" s="78"/>
    </row>
    <row r="19" spans="1:4" ht="14" x14ac:dyDescent="0.2">
      <c r="A19" s="79"/>
      <c r="B19" s="665" t="s">
        <v>142</v>
      </c>
      <c r="C19" s="660"/>
      <c r="D19" s="79"/>
    </row>
  </sheetData>
  <mergeCells count="4">
    <mergeCell ref="B2:C2"/>
    <mergeCell ref="B3:C3"/>
    <mergeCell ref="B5:C5"/>
    <mergeCell ref="B19:C19"/>
  </mergeCells>
  <phoneticPr fontId="9" type="noConversion"/>
  <pageMargins left="1.0149999999999999" right="0.75000000000000011" top="0.984251969" bottom="0.984251969" header="0.5" footer="0.5"/>
  <pageSetup paperSize="10" scale="84" orientation="landscape" horizontalDpi="4294967292" verticalDpi="4294967292"/>
  <headerFooter alignWithMargins="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056D54-5E38-2A4A-B0EC-C318775E3E84}">
  <sheetPr>
    <pageSetUpPr fitToPage="1"/>
  </sheetPr>
  <dimension ref="B1:F37"/>
  <sheetViews>
    <sheetView showGridLines="0" zoomScale="164" zoomScaleNormal="164" workbookViewId="0">
      <selection activeCell="F30" sqref="F30"/>
    </sheetView>
  </sheetViews>
  <sheetFormatPr baseColWidth="10" defaultRowHeight="13" x14ac:dyDescent="0.2"/>
  <cols>
    <col min="1" max="1" width="7.1640625" customWidth="1"/>
    <col min="2" max="2" width="43.5" customWidth="1"/>
    <col min="3" max="3" width="15.6640625" customWidth="1"/>
    <col min="4" max="4" width="14.83203125" customWidth="1"/>
    <col min="5" max="5" width="15.1640625" customWidth="1"/>
    <col min="6" max="6" width="14.5" customWidth="1"/>
  </cols>
  <sheetData>
    <row r="1" spans="2:6" ht="37" customHeight="1" thickBot="1" x14ac:dyDescent="0.25"/>
    <row r="2" spans="2:6" ht="14" thickTop="1" x14ac:dyDescent="0.2">
      <c r="B2" s="279"/>
      <c r="C2" s="280"/>
      <c r="D2" s="280"/>
      <c r="E2" s="280"/>
      <c r="F2" s="289"/>
    </row>
    <row r="3" spans="2:6" ht="19" x14ac:dyDescent="0.25">
      <c r="B3" s="540" t="s">
        <v>115</v>
      </c>
      <c r="C3" s="504"/>
      <c r="D3" s="504"/>
      <c r="E3" s="504"/>
      <c r="F3" s="505"/>
    </row>
    <row r="4" spans="2:6" x14ac:dyDescent="0.2">
      <c r="B4" s="290"/>
      <c r="C4" s="286"/>
      <c r="D4" s="286"/>
      <c r="E4" s="286"/>
      <c r="F4" s="291"/>
    </row>
    <row r="5" spans="2:6" ht="16" x14ac:dyDescent="0.2">
      <c r="B5" s="292" t="s">
        <v>116</v>
      </c>
      <c r="C5" s="287"/>
      <c r="D5" s="287"/>
      <c r="E5" s="287"/>
      <c r="F5" s="293"/>
    </row>
    <row r="6" spans="2:6" ht="7" customHeight="1" x14ac:dyDescent="0.2">
      <c r="B6" s="294"/>
      <c r="C6" s="288"/>
      <c r="D6" s="288"/>
      <c r="E6" s="288"/>
      <c r="F6" s="291"/>
    </row>
    <row r="7" spans="2:6" ht="16" customHeight="1" x14ac:dyDescent="0.2">
      <c r="B7" s="456" t="s">
        <v>295</v>
      </c>
      <c r="C7" s="278" t="s">
        <v>56</v>
      </c>
      <c r="D7" s="278" t="s">
        <v>57</v>
      </c>
      <c r="E7" s="556" t="s">
        <v>6</v>
      </c>
      <c r="F7" s="557"/>
    </row>
    <row r="8" spans="2:6" ht="20" customHeight="1" x14ac:dyDescent="0.2">
      <c r="B8" s="297" t="s">
        <v>209</v>
      </c>
      <c r="C8" s="298"/>
      <c r="D8" s="298" t="s">
        <v>284</v>
      </c>
      <c r="E8" s="556"/>
      <c r="F8" s="557"/>
    </row>
    <row r="9" spans="2:6" ht="8" customHeight="1" x14ac:dyDescent="0.2">
      <c r="B9" s="294"/>
      <c r="C9" s="288"/>
      <c r="D9" s="288"/>
      <c r="E9" s="288"/>
      <c r="F9" s="291"/>
    </row>
    <row r="10" spans="2:6" ht="20" customHeight="1" x14ac:dyDescent="0.2">
      <c r="B10" s="297" t="s">
        <v>210</v>
      </c>
      <c r="C10" s="298">
        <v>20</v>
      </c>
      <c r="D10" s="288"/>
      <c r="E10" s="288"/>
      <c r="F10" s="291"/>
    </row>
    <row r="11" spans="2:6" ht="20" customHeight="1" x14ac:dyDescent="0.2">
      <c r="B11" s="307"/>
      <c r="C11" s="308" t="s">
        <v>274</v>
      </c>
      <c r="D11" s="308" t="s">
        <v>239</v>
      </c>
      <c r="E11" s="308" t="s">
        <v>219</v>
      </c>
      <c r="F11" s="291"/>
    </row>
    <row r="12" spans="2:6" ht="20" customHeight="1" x14ac:dyDescent="0.2">
      <c r="B12" s="297" t="s">
        <v>220</v>
      </c>
      <c r="C12" s="298"/>
      <c r="D12" s="330" t="s">
        <v>96</v>
      </c>
      <c r="E12" s="298"/>
      <c r="F12" s="309" t="s">
        <v>275</v>
      </c>
    </row>
    <row r="13" spans="2:6" ht="10" customHeight="1" x14ac:dyDescent="0.2">
      <c r="B13" s="294"/>
      <c r="C13" s="288"/>
      <c r="D13" s="288"/>
      <c r="E13" s="288"/>
      <c r="F13" s="291"/>
    </row>
    <row r="14" spans="2:6" ht="20" customHeight="1" x14ac:dyDescent="0.25">
      <c r="B14" s="297" t="s">
        <v>97</v>
      </c>
      <c r="C14" s="298">
        <v>0.5</v>
      </c>
      <c r="D14" s="512" t="s">
        <v>58</v>
      </c>
      <c r="E14" s="549"/>
      <c r="F14" s="291"/>
    </row>
    <row r="15" spans="2:6" ht="10" customHeight="1" x14ac:dyDescent="0.2">
      <c r="B15" s="294"/>
      <c r="C15" s="288"/>
      <c r="D15" s="288"/>
      <c r="E15" s="288"/>
      <c r="F15" s="291"/>
    </row>
    <row r="16" spans="2:6" ht="20" customHeight="1" x14ac:dyDescent="0.2">
      <c r="B16" s="550" t="s">
        <v>66</v>
      </c>
      <c r="C16" s="551"/>
      <c r="D16" s="552"/>
      <c r="E16" s="301">
        <v>0</v>
      </c>
      <c r="F16" s="553"/>
    </row>
    <row r="17" spans="2:6" ht="20" customHeight="1" x14ac:dyDescent="0.2">
      <c r="B17" s="550" t="s">
        <v>143</v>
      </c>
      <c r="C17" s="551"/>
      <c r="D17" s="552"/>
      <c r="E17" s="301">
        <v>0</v>
      </c>
      <c r="F17" s="553"/>
    </row>
    <row r="18" spans="2:6" ht="9" customHeight="1" x14ac:dyDescent="0.2">
      <c r="B18" s="294"/>
      <c r="C18" s="288"/>
      <c r="D18" s="288"/>
      <c r="E18" s="288"/>
      <c r="F18" s="291"/>
    </row>
    <row r="19" spans="2:6" ht="38" customHeight="1" x14ac:dyDescent="0.2">
      <c r="B19" s="554" t="s">
        <v>31</v>
      </c>
      <c r="C19" s="295" t="s">
        <v>28</v>
      </c>
      <c r="D19" s="295" t="s">
        <v>12</v>
      </c>
      <c r="E19" s="295" t="s">
        <v>87</v>
      </c>
      <c r="F19" s="296" t="s">
        <v>13</v>
      </c>
    </row>
    <row r="20" spans="2:6" ht="20" customHeight="1" x14ac:dyDescent="0.2">
      <c r="B20" s="555"/>
      <c r="C20" s="330" t="s">
        <v>96</v>
      </c>
      <c r="D20" s="298"/>
      <c r="E20" s="298"/>
      <c r="F20" s="299"/>
    </row>
    <row r="21" spans="2:6" ht="9" customHeight="1" x14ac:dyDescent="0.2">
      <c r="B21" s="294"/>
      <c r="C21" s="288"/>
      <c r="D21" s="288"/>
      <c r="E21" s="288"/>
      <c r="F21" s="291"/>
    </row>
    <row r="22" spans="2:6" ht="30" customHeight="1" x14ac:dyDescent="0.2">
      <c r="B22" s="541" t="s">
        <v>109</v>
      </c>
      <c r="C22" s="539"/>
      <c r="D22" s="539"/>
      <c r="E22" s="539"/>
      <c r="F22" s="542"/>
    </row>
    <row r="23" spans="2:6" ht="28" customHeight="1" x14ac:dyDescent="0.2">
      <c r="B23" s="543">
        <f>IF(E12="x",'Tableaux de calcul'!P8*'Tableaux de calcul'!V8, IF('EVALUER VOS DROITS EXPO'!C12="x",'Tableaux de calcul'!P8*'Tableaux de calcul'!V6,'Tableaux de calcul'!P8))</f>
        <v>360</v>
      </c>
      <c r="C23" s="544"/>
      <c r="D23" s="544"/>
      <c r="E23" s="544"/>
      <c r="F23" s="545"/>
    </row>
    <row r="24" spans="2:6" ht="22" customHeight="1" thickBot="1" x14ac:dyDescent="0.25">
      <c r="B24" s="546" t="str">
        <f>"Une valeur minimum de "&amp;'Tableaux de calcul'!M4&amp;" € est prévue quelque soit le nombre d'œuvre et la durée"</f>
        <v>Une valeur minimum de 250 € est prévue quelque soit le nombre d'œuvre et la durée</v>
      </c>
      <c r="C24" s="547"/>
      <c r="D24" s="547"/>
      <c r="E24" s="547"/>
      <c r="F24" s="548"/>
    </row>
    <row r="25" spans="2:6" ht="17" thickTop="1" x14ac:dyDescent="0.2">
      <c r="B25" s="277"/>
      <c r="C25" s="277"/>
      <c r="D25" s="277"/>
      <c r="E25" s="277"/>
    </row>
    <row r="26" spans="2:6" ht="16" x14ac:dyDescent="0.2">
      <c r="B26" s="277"/>
      <c r="C26" s="277"/>
      <c r="D26" s="277"/>
      <c r="E26" s="277"/>
    </row>
    <row r="27" spans="2:6" ht="16" x14ac:dyDescent="0.2">
      <c r="B27" s="277"/>
      <c r="C27" s="277"/>
      <c r="D27" s="277"/>
      <c r="E27" s="277"/>
    </row>
    <row r="28" spans="2:6" ht="16" x14ac:dyDescent="0.2">
      <c r="B28" s="277"/>
      <c r="C28" s="277"/>
      <c r="D28" s="277"/>
      <c r="E28" s="277"/>
    </row>
    <row r="29" spans="2:6" ht="16" x14ac:dyDescent="0.2">
      <c r="B29" s="277"/>
      <c r="C29" s="277"/>
      <c r="D29" s="277"/>
      <c r="E29" s="277"/>
    </row>
    <row r="30" spans="2:6" ht="16" x14ac:dyDescent="0.2">
      <c r="B30" s="277"/>
      <c r="C30" s="277"/>
      <c r="D30" s="277"/>
      <c r="E30" s="277"/>
    </row>
    <row r="31" spans="2:6" ht="16" x14ac:dyDescent="0.2">
      <c r="B31" s="277"/>
      <c r="C31" s="277"/>
      <c r="D31" s="277"/>
      <c r="E31" s="277"/>
    </row>
    <row r="32" spans="2:6" ht="16" x14ac:dyDescent="0.2">
      <c r="B32" s="277"/>
      <c r="C32" s="277"/>
      <c r="D32" s="277"/>
      <c r="E32" s="277"/>
    </row>
    <row r="33" spans="2:5" ht="16" x14ac:dyDescent="0.2">
      <c r="B33" s="277"/>
      <c r="C33" s="277"/>
      <c r="D33" s="277"/>
      <c r="E33" s="277"/>
    </row>
    <row r="34" spans="2:5" ht="16" x14ac:dyDescent="0.2">
      <c r="B34" s="277"/>
      <c r="C34" s="277"/>
      <c r="D34" s="277"/>
      <c r="E34" s="277"/>
    </row>
    <row r="35" spans="2:5" ht="16" x14ac:dyDescent="0.2">
      <c r="B35" s="277"/>
      <c r="C35" s="277"/>
      <c r="D35" s="277"/>
      <c r="E35" s="277"/>
    </row>
    <row r="36" spans="2:5" ht="16" x14ac:dyDescent="0.2">
      <c r="B36" s="277"/>
      <c r="C36" s="277"/>
      <c r="D36" s="277"/>
      <c r="E36" s="277"/>
    </row>
    <row r="37" spans="2:5" ht="16" x14ac:dyDescent="0.2">
      <c r="B37" s="277"/>
      <c r="C37" s="277"/>
      <c r="D37" s="277"/>
      <c r="E37" s="277"/>
    </row>
  </sheetData>
  <mergeCells count="10">
    <mergeCell ref="B3:F3"/>
    <mergeCell ref="B22:F22"/>
    <mergeCell ref="B23:F23"/>
    <mergeCell ref="B24:F24"/>
    <mergeCell ref="D14:E14"/>
    <mergeCell ref="B16:D16"/>
    <mergeCell ref="F16:F17"/>
    <mergeCell ref="B17:D17"/>
    <mergeCell ref="B19:B20"/>
    <mergeCell ref="E7:F8"/>
  </mergeCells>
  <conditionalFormatting sqref="C8">
    <cfRule type="cellIs" dxfId="10" priority="1" stopIfTrue="1" operator="equal">
      <formula>0</formula>
    </cfRule>
  </conditionalFormatting>
  <pageMargins left="0.60000000000000009" right="0.5" top="0.984251969" bottom="0.984251969" header="0.5" footer="0.5"/>
  <pageSetup paperSize="10" scale="81" orientation="portrait" horizontalDpi="4294967292" verticalDpi="4294967292"/>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Y49"/>
  <sheetViews>
    <sheetView showGridLines="0" zoomScaleNormal="100" workbookViewId="0">
      <selection activeCell="I18" sqref="I18"/>
    </sheetView>
  </sheetViews>
  <sheetFormatPr baseColWidth="10" defaultRowHeight="13" x14ac:dyDescent="0.2"/>
  <cols>
    <col min="3" max="3" width="14.5" customWidth="1"/>
    <col min="5" max="5" width="16.5" customWidth="1"/>
    <col min="6" max="6" width="11.5" customWidth="1"/>
    <col min="7" max="7" width="12.83203125" customWidth="1"/>
    <col min="8" max="8" width="11.6640625" customWidth="1"/>
    <col min="9" max="9" width="11.5" customWidth="1"/>
    <col min="12" max="12" width="13.83203125" customWidth="1"/>
    <col min="13" max="13" width="16.6640625" customWidth="1"/>
    <col min="14" max="14" width="12.83203125" customWidth="1"/>
    <col min="15" max="15" width="15.1640625" customWidth="1"/>
    <col min="16" max="16" width="18.6640625" customWidth="1"/>
    <col min="17" max="17" width="15.6640625" customWidth="1"/>
    <col min="18" max="18" width="11.1640625" customWidth="1"/>
    <col min="21" max="21" width="12.5" customWidth="1"/>
    <col min="22" max="22" width="11.5" customWidth="1"/>
    <col min="23" max="23" width="11" customWidth="1"/>
  </cols>
  <sheetData>
    <row r="3" spans="1:25" ht="60" customHeight="1" x14ac:dyDescent="0.2">
      <c r="I3" s="558" t="s">
        <v>65</v>
      </c>
      <c r="J3" s="559"/>
      <c r="K3" s="559"/>
      <c r="L3" s="560"/>
      <c r="M3" s="561" t="s">
        <v>47</v>
      </c>
      <c r="N3" s="562"/>
      <c r="O3" s="563"/>
    </row>
    <row r="4" spans="1:25" ht="56" customHeight="1" thickBot="1" x14ac:dyDescent="0.25">
      <c r="A4" s="12"/>
      <c r="B4" s="86"/>
      <c r="C4" s="87"/>
      <c r="D4" s="88"/>
      <c r="E4" s="88"/>
      <c r="F4" s="88"/>
      <c r="G4" s="88"/>
      <c r="H4" s="88"/>
      <c r="I4" s="653" t="s">
        <v>117</v>
      </c>
      <c r="J4" s="654"/>
      <c r="K4" s="654"/>
      <c r="L4" s="655"/>
      <c r="M4" s="270">
        <v>250</v>
      </c>
      <c r="N4" s="634" t="str">
        <f>IF(M5=0,"",IF(M5&lt;M4,"LE MINIMUM DE FACTURATION EST APPLIQUÉ",""))</f>
        <v/>
      </c>
      <c r="O4" s="635"/>
      <c r="P4" s="635"/>
      <c r="Q4" s="636"/>
      <c r="R4" s="641" t="s">
        <v>194</v>
      </c>
      <c r="S4" s="642"/>
      <c r="T4" s="643"/>
    </row>
    <row r="5" spans="1:25" ht="48" customHeight="1" thickBot="1" x14ac:dyDescent="0.25">
      <c r="A5" s="638" t="s">
        <v>4</v>
      </c>
      <c r="B5" s="258" t="str">
        <f>'EVALUER VOS DROITS EXPO'!D8</f>
        <v>x</v>
      </c>
      <c r="C5" s="644" t="s">
        <v>94</v>
      </c>
      <c r="D5" s="644"/>
      <c r="E5" s="644"/>
      <c r="F5" s="644"/>
      <c r="G5" s="644"/>
      <c r="H5" s="644"/>
      <c r="I5" s="644"/>
      <c r="J5" s="645"/>
      <c r="K5" s="645"/>
      <c r="L5" s="323"/>
      <c r="M5" s="267">
        <f>IF(B5="x",IF(L8&lt;M4,M4,L8),0)*M7</f>
        <v>360</v>
      </c>
      <c r="N5" s="259"/>
      <c r="O5" s="249" t="s">
        <v>208</v>
      </c>
      <c r="P5" s="90">
        <f>'EVALUER VOS DROITS EXPO'!E16</f>
        <v>0</v>
      </c>
      <c r="Q5" s="271">
        <f>M5*P5+M6*P5</f>
        <v>0</v>
      </c>
      <c r="R5" s="91" t="s">
        <v>107</v>
      </c>
      <c r="S5" s="92">
        <f>IF('EVALUER VOS DROITS EXPO'!C20="x",0,0)</f>
        <v>0</v>
      </c>
      <c r="T5" s="274"/>
      <c r="V5" s="305"/>
      <c r="W5" s="327">
        <f>L8</f>
        <v>720</v>
      </c>
      <c r="X5" s="325" t="s">
        <v>36</v>
      </c>
      <c r="Y5" s="325" t="s">
        <v>37</v>
      </c>
    </row>
    <row r="6" spans="1:25" ht="47" customHeight="1" thickBot="1" x14ac:dyDescent="0.25">
      <c r="A6" s="639"/>
      <c r="B6" s="251">
        <f>'EVALUER VOS DROITS EXPO'!C8</f>
        <v>0</v>
      </c>
      <c r="C6" s="644" t="s">
        <v>86</v>
      </c>
      <c r="D6" s="644"/>
      <c r="E6" s="644"/>
      <c r="F6" s="644"/>
      <c r="G6" s="644"/>
      <c r="H6" s="644"/>
      <c r="I6" s="644"/>
      <c r="J6" s="644"/>
      <c r="K6" s="644"/>
      <c r="L6" s="260">
        <v>1.8</v>
      </c>
      <c r="M6" s="267">
        <f>IF(B6="x",IF(W21*L6&gt;M4,W21*L6,M4),0)</f>
        <v>0</v>
      </c>
      <c r="N6" s="93" t="s">
        <v>180</v>
      </c>
      <c r="O6" s="249" t="s">
        <v>126</v>
      </c>
      <c r="P6" s="90">
        <f>'EVALUER VOS DROITS EXPO'!E17</f>
        <v>0</v>
      </c>
      <c r="Q6" s="272">
        <f>M5*P6+M6*P6</f>
        <v>0</v>
      </c>
      <c r="R6" s="91" t="s">
        <v>181</v>
      </c>
      <c r="S6" s="94">
        <v>0.5</v>
      </c>
      <c r="T6" s="252">
        <f>'EVALUER VOS DROITS EXPO'!D20</f>
        <v>0</v>
      </c>
      <c r="U6" s="316" t="s">
        <v>218</v>
      </c>
      <c r="V6" s="316">
        <v>0.8</v>
      </c>
      <c r="W6" s="324">
        <f>IF($M$7&lt;0.3,$W$5*X6,0)</f>
        <v>0</v>
      </c>
      <c r="X6" s="326">
        <v>0.5</v>
      </c>
      <c r="Y6" s="324" t="s">
        <v>68</v>
      </c>
    </row>
    <row r="7" spans="1:25" ht="50" customHeight="1" thickBot="1" x14ac:dyDescent="0.25">
      <c r="A7" s="639"/>
      <c r="B7" s="646" t="s">
        <v>251</v>
      </c>
      <c r="C7" s="647" t="s">
        <v>157</v>
      </c>
      <c r="D7" s="649">
        <f>'EVALUER VOS DROITS EXPO'!C10</f>
        <v>20</v>
      </c>
      <c r="E7" s="651" t="s">
        <v>199</v>
      </c>
      <c r="F7" s="246" t="s">
        <v>196</v>
      </c>
      <c r="G7" s="247" t="s">
        <v>197</v>
      </c>
      <c r="H7" s="247" t="s">
        <v>198</v>
      </c>
      <c r="I7" s="247" t="s">
        <v>240</v>
      </c>
      <c r="J7" s="247" t="s">
        <v>241</v>
      </c>
      <c r="K7" s="248" t="s">
        <v>242</v>
      </c>
      <c r="L7" s="257" t="s">
        <v>89</v>
      </c>
      <c r="M7" s="253">
        <f>'EVALUER VOS DROITS EXPO'!C14</f>
        <v>0.5</v>
      </c>
      <c r="N7" s="259"/>
      <c r="O7" s="250" t="s">
        <v>250</v>
      </c>
      <c r="P7" s="268">
        <f>IF(T5="x",SUM(M5:M6)*S5,IF(T6="x",SUM(M5:M6)*S6,IF(T7="x",SUM(M5:M6)*S7,IF(T8="x",SUM(M5:M6)*S8,0))))</f>
        <v>0</v>
      </c>
      <c r="Q7" s="273"/>
      <c r="R7" s="91" t="s">
        <v>249</v>
      </c>
      <c r="S7" s="269">
        <f>S6*1.5</f>
        <v>0.75</v>
      </c>
      <c r="T7" s="252">
        <f>'EVALUER VOS DROITS EXPO'!E20</f>
        <v>0</v>
      </c>
      <c r="U7" s="317" t="s">
        <v>217</v>
      </c>
      <c r="V7" s="316">
        <v>1</v>
      </c>
      <c r="W7" s="324">
        <f>IF(AND($M$7&gt;0.3,$M$7&lt;0.6),$W$5*X7,0)</f>
        <v>540</v>
      </c>
      <c r="X7" s="324">
        <v>0.75</v>
      </c>
      <c r="Y7" s="324" t="s">
        <v>69</v>
      </c>
    </row>
    <row r="8" spans="1:25" ht="75" customHeight="1" thickTop="1" thickBot="1" x14ac:dyDescent="0.25">
      <c r="A8" s="639"/>
      <c r="B8" s="646"/>
      <c r="C8" s="648"/>
      <c r="D8" s="650"/>
      <c r="E8" s="652"/>
      <c r="F8" s="261">
        <v>40</v>
      </c>
      <c r="G8" s="265">
        <f>F8*0.9</f>
        <v>36</v>
      </c>
      <c r="H8" s="265">
        <f>F8*0.8</f>
        <v>32</v>
      </c>
      <c r="I8" s="265">
        <f>F8*0.7</f>
        <v>28</v>
      </c>
      <c r="J8" s="265">
        <f>F8*0.6</f>
        <v>24</v>
      </c>
      <c r="K8" s="266">
        <f>F8*0.5</f>
        <v>20</v>
      </c>
      <c r="L8" s="89">
        <f>IF(D7&lt;11,F8*D7,IF(AND(D7&gt;10,D7&lt;21),D7*G8,IF(AND(D7&gt;20,D7&lt;31),D7*H8,IF(AND(D7&gt;30,D7&lt;51),D7*I8,IF(AND(D7&gt;50,D7&lt;101),D7*J8,D7*K8)))))</f>
        <v>720</v>
      </c>
      <c r="M8" s="632" t="s">
        <v>232</v>
      </c>
      <c r="N8" s="633"/>
      <c r="O8" s="275" t="s">
        <v>34</v>
      </c>
      <c r="P8" s="276">
        <f>IF((M5+M6+P7+Q5-Q6)&lt;M4,M4,(M5+M6+P7+Q5-Q6))</f>
        <v>360</v>
      </c>
      <c r="Q8" s="329" t="e">
        <f>IF('EVALUER VOS OEUVRES'!#REF!="x",(SUM(M5:M6)+P7)*'Tableaux de calcul'!V6,IF('EVALUER VOS OEUVRES'!#REF!="x",(SUM(M5:M6)+P7)*'Tableaux de calcul'!V7,IF('EVALUER VOS OEUVRES'!#REF!="x",(SUM(M5:M6)+P7)*'Tableaux de calcul'!V8,SUM(M5:M6)+P7)))</f>
        <v>#REF!</v>
      </c>
      <c r="R8" s="91" t="s">
        <v>254</v>
      </c>
      <c r="S8" s="269">
        <f>S6*2</f>
        <v>1</v>
      </c>
      <c r="T8" s="252">
        <f>'EVALUER VOS DROITS EXPO'!F20</f>
        <v>0</v>
      </c>
      <c r="U8" s="317" t="s">
        <v>219</v>
      </c>
      <c r="V8" s="316">
        <v>1.3</v>
      </c>
      <c r="W8" s="324">
        <f>IF(AND($M$7&gt;0.6,$M$7&lt;1.1),$W$5*X8,0)</f>
        <v>0</v>
      </c>
      <c r="X8" s="324">
        <v>1</v>
      </c>
      <c r="Y8" s="324" t="s">
        <v>70</v>
      </c>
    </row>
    <row r="9" spans="1:25" ht="75" customHeight="1" thickTop="1" x14ac:dyDescent="0.2">
      <c r="A9" s="639"/>
      <c r="B9" s="310"/>
      <c r="C9" s="320"/>
      <c r="D9" s="321"/>
      <c r="E9" s="656" t="s">
        <v>41</v>
      </c>
      <c r="F9" s="657"/>
      <c r="G9" s="658"/>
      <c r="H9" s="322"/>
      <c r="I9" s="322"/>
      <c r="J9" s="322"/>
      <c r="K9" s="322"/>
      <c r="L9" s="311"/>
      <c r="M9" s="312"/>
      <c r="N9" s="318"/>
      <c r="O9" s="313"/>
      <c r="P9" s="319"/>
      <c r="Q9" s="273"/>
      <c r="R9" s="314"/>
      <c r="S9" s="315"/>
      <c r="T9" s="252"/>
      <c r="U9" s="304"/>
      <c r="V9" s="306"/>
      <c r="W9" s="324">
        <f>IF(AND($M$7&gt;1,$M$7&lt;2.1),$W$5*X9,0)</f>
        <v>0</v>
      </c>
      <c r="X9" s="324">
        <v>1.25</v>
      </c>
      <c r="Y9" s="324" t="s">
        <v>71</v>
      </c>
    </row>
    <row r="10" spans="1:25" ht="86" customHeight="1" thickBot="1" x14ac:dyDescent="0.25">
      <c r="A10" s="640"/>
      <c r="B10" s="595" t="s">
        <v>59</v>
      </c>
      <c r="C10" s="596"/>
      <c r="D10" s="596"/>
      <c r="E10" s="596"/>
      <c r="F10" s="596"/>
      <c r="G10" s="596"/>
      <c r="H10" s="596"/>
      <c r="I10" s="596"/>
      <c r="J10" s="596"/>
      <c r="K10" s="596"/>
      <c r="L10" s="596"/>
      <c r="M10" s="596"/>
      <c r="N10" s="596"/>
      <c r="O10" s="596"/>
      <c r="P10" s="597"/>
      <c r="Q10" s="598"/>
      <c r="R10" s="263"/>
      <c r="S10" s="264"/>
      <c r="T10" s="262" t="s">
        <v>139</v>
      </c>
      <c r="W10" s="324">
        <f>IF(AND($M$7&gt;2,$M$7&lt;3.1),$W$5*X10,0)</f>
        <v>0</v>
      </c>
      <c r="X10" s="324">
        <v>1.5</v>
      </c>
      <c r="Y10" s="324" t="s">
        <v>72</v>
      </c>
    </row>
    <row r="11" spans="1:25" ht="22" customHeight="1" x14ac:dyDescent="0.2">
      <c r="W11" s="324">
        <f>IF(AND($M$7&gt;3,$M$7&lt;4.1),$W$5*X11,0)</f>
        <v>0</v>
      </c>
      <c r="X11" s="324">
        <v>1.7</v>
      </c>
      <c r="Y11" s="324" t="s">
        <v>73</v>
      </c>
    </row>
    <row r="12" spans="1:25" ht="22" customHeight="1" x14ac:dyDescent="0.2">
      <c r="A12" s="334"/>
      <c r="B12" s="334"/>
      <c r="C12" s="334"/>
      <c r="D12" s="334"/>
      <c r="E12" s="334"/>
      <c r="F12" s="334"/>
      <c r="G12" s="334"/>
      <c r="H12" s="334"/>
      <c r="I12" s="334"/>
      <c r="J12" s="335"/>
      <c r="K12" s="336"/>
      <c r="L12" s="337"/>
      <c r="M12" s="567" t="s">
        <v>55</v>
      </c>
      <c r="N12" s="568"/>
      <c r="O12" s="569"/>
      <c r="P12" s="335"/>
      <c r="Q12" s="336"/>
      <c r="R12" s="336"/>
      <c r="S12" s="337"/>
      <c r="T12" s="637" t="s">
        <v>3</v>
      </c>
      <c r="W12" s="324">
        <f>IF(AND($M$7&gt;4,$M$7&lt;5.1),$W$5*X12,0)</f>
        <v>0</v>
      </c>
      <c r="X12" s="324">
        <v>1.9</v>
      </c>
      <c r="Y12" s="324" t="s">
        <v>74</v>
      </c>
    </row>
    <row r="13" spans="1:25" ht="22" customHeight="1" x14ac:dyDescent="0.2">
      <c r="A13" s="334"/>
      <c r="B13" s="334"/>
      <c r="C13" s="334"/>
      <c r="D13" s="334"/>
      <c r="E13" s="334"/>
      <c r="F13" s="334"/>
      <c r="G13" s="334"/>
      <c r="H13" s="334"/>
      <c r="I13" s="334"/>
      <c r="J13" s="338"/>
      <c r="K13" s="339"/>
      <c r="L13" s="340"/>
      <c r="M13" s="341" t="s">
        <v>119</v>
      </c>
      <c r="N13" s="342"/>
      <c r="O13" s="341" t="s">
        <v>282</v>
      </c>
      <c r="P13" s="338"/>
      <c r="Q13" s="339"/>
      <c r="R13" s="339"/>
      <c r="S13" s="340"/>
      <c r="T13" s="637"/>
      <c r="W13" s="324">
        <f>IF(AND($M$7&gt;5,$M$7&lt;6.1),$W$5*X13,0)</f>
        <v>0</v>
      </c>
      <c r="X13" s="324">
        <v>2.2000000000000002</v>
      </c>
      <c r="Y13" s="324" t="s">
        <v>75</v>
      </c>
    </row>
    <row r="14" spans="1:25" ht="24" customHeight="1" x14ac:dyDescent="0.2">
      <c r="A14" s="334"/>
      <c r="B14" s="334"/>
      <c r="C14" s="334"/>
      <c r="D14" s="334"/>
      <c r="E14" s="576" t="s">
        <v>207</v>
      </c>
      <c r="F14" s="577"/>
      <c r="G14" s="577"/>
      <c r="H14" s="334"/>
      <c r="I14" s="334"/>
      <c r="J14" s="343"/>
      <c r="K14" s="344"/>
      <c r="L14" s="345"/>
      <c r="M14" s="346">
        <v>0</v>
      </c>
      <c r="N14" s="347"/>
      <c r="O14" s="346">
        <v>0</v>
      </c>
      <c r="P14" s="343"/>
      <c r="Q14" s="344"/>
      <c r="R14" s="344"/>
      <c r="S14" s="345"/>
      <c r="T14" s="637"/>
      <c r="W14" s="324">
        <f>IF(AND($M$7&gt;6,$M$7&lt;7.1),$W$5*X14,0)</f>
        <v>0</v>
      </c>
      <c r="X14" s="324">
        <v>2.5</v>
      </c>
      <c r="Y14" s="324" t="s">
        <v>76</v>
      </c>
    </row>
    <row r="15" spans="1:25" ht="32" customHeight="1" x14ac:dyDescent="0.2">
      <c r="A15" s="606" t="s">
        <v>151</v>
      </c>
      <c r="B15" s="607"/>
      <c r="C15" s="608"/>
      <c r="D15" s="578"/>
      <c r="E15" s="486" t="s">
        <v>46</v>
      </c>
      <c r="F15" s="486" t="s">
        <v>283</v>
      </c>
      <c r="G15" s="486" t="s">
        <v>202</v>
      </c>
      <c r="H15" s="622" t="s">
        <v>38</v>
      </c>
      <c r="I15" s="623"/>
      <c r="J15" s="623"/>
      <c r="K15" s="623"/>
      <c r="L15" s="623"/>
      <c r="M15" s="623"/>
      <c r="N15" s="623"/>
      <c r="O15" s="623"/>
      <c r="P15" s="623"/>
      <c r="Q15" s="623"/>
      <c r="R15" s="623"/>
      <c r="S15" s="624"/>
      <c r="T15" s="637"/>
      <c r="W15" s="324">
        <f>IF(AND($M$7&gt;7,$M$7&lt;8.1),$W$5*X15,0)</f>
        <v>0</v>
      </c>
      <c r="X15" s="324">
        <v>2.7</v>
      </c>
      <c r="Y15" s="324" t="s">
        <v>77</v>
      </c>
    </row>
    <row r="16" spans="1:25" ht="51" customHeight="1" x14ac:dyDescent="0.2">
      <c r="A16" s="609"/>
      <c r="B16" s="610"/>
      <c r="C16" s="611"/>
      <c r="D16" s="579"/>
      <c r="E16" s="348">
        <f>'EVALUER VOS OEUVRES'!C12</f>
        <v>30</v>
      </c>
      <c r="F16" s="349" t="s">
        <v>203</v>
      </c>
      <c r="G16" s="348">
        <f>'EVALUER VOS OEUVRES'!D12</f>
        <v>40</v>
      </c>
      <c r="H16" s="350">
        <f>E16+G16</f>
        <v>70</v>
      </c>
      <c r="I16" s="351"/>
      <c r="J16" s="584" t="s">
        <v>93</v>
      </c>
      <c r="K16" s="585"/>
      <c r="L16" s="585"/>
      <c r="M16" s="585"/>
      <c r="N16" s="585"/>
      <c r="O16" s="585"/>
      <c r="P16" s="585"/>
      <c r="Q16" s="586"/>
      <c r="R16" s="625" t="s">
        <v>221</v>
      </c>
      <c r="S16" s="629" t="s">
        <v>268</v>
      </c>
      <c r="T16" s="637"/>
      <c r="W16" s="324">
        <f>IF(AND($M$7&gt;8,$M$7&lt;9.1),$W$5*X16,0)</f>
        <v>0</v>
      </c>
      <c r="X16" s="324">
        <v>3</v>
      </c>
      <c r="Y16" s="324" t="s">
        <v>78</v>
      </c>
    </row>
    <row r="17" spans="1:25" ht="23" customHeight="1" x14ac:dyDescent="0.2">
      <c r="A17" s="612"/>
      <c r="B17" s="613"/>
      <c r="C17" s="614"/>
      <c r="D17" s="352"/>
      <c r="E17" s="353"/>
      <c r="F17" s="354"/>
      <c r="G17" s="353"/>
      <c r="H17" s="417" t="s">
        <v>286</v>
      </c>
      <c r="I17" s="419">
        <f>'EVALUER VOS OEUVRES'!F4</f>
        <v>45</v>
      </c>
      <c r="J17" s="355"/>
      <c r="K17" s="356"/>
      <c r="L17" s="356"/>
      <c r="M17" s="356"/>
      <c r="N17" s="356"/>
      <c r="O17" s="356"/>
      <c r="P17" s="356"/>
      <c r="Q17" s="357"/>
      <c r="R17" s="625"/>
      <c r="S17" s="629"/>
      <c r="T17" s="637"/>
      <c r="W17" s="324">
        <f>IF(AND($M$7&gt;9,$M$7&lt;10.1),$W$5*X17,0)</f>
        <v>0</v>
      </c>
      <c r="X17" s="324">
        <v>3.2</v>
      </c>
      <c r="Y17" s="324" t="s">
        <v>79</v>
      </c>
    </row>
    <row r="18" spans="1:25" ht="23" customHeight="1" x14ac:dyDescent="0.2">
      <c r="A18" s="587" t="s">
        <v>111</v>
      </c>
      <c r="B18" s="588"/>
      <c r="C18" s="588"/>
      <c r="D18" s="588"/>
      <c r="E18" s="589"/>
      <c r="F18" s="589"/>
      <c r="G18" s="590"/>
      <c r="H18" s="358" t="str">
        <f>'EVALUER VOS OEUVRES'!C6</f>
        <v>x</v>
      </c>
      <c r="I18" s="418">
        <f>IF('EVALUER VOS OEUVRES'!C6="x",I17,IF('EVALUER VOS OEUVRES'!C6="xx",I17*1.5,IF('EVALUER VOS OEUVRES'!C6="xxx",I17*2,0)))</f>
        <v>45</v>
      </c>
      <c r="J18" s="599" t="s">
        <v>90</v>
      </c>
      <c r="K18" s="600"/>
      <c r="L18" s="600"/>
      <c r="M18" s="630" t="s">
        <v>183</v>
      </c>
      <c r="N18" s="631"/>
      <c r="O18" s="631"/>
      <c r="P18" s="631"/>
      <c r="Q18" s="631"/>
      <c r="R18" s="626"/>
      <c r="S18" s="627"/>
      <c r="T18" s="637"/>
      <c r="W18" s="324">
        <f>IF(AND($M$7&gt;10,$M$7&lt;11.1),$W$5*X18,0)</f>
        <v>0</v>
      </c>
      <c r="X18" s="324">
        <v>3.3</v>
      </c>
      <c r="Y18" s="324" t="s">
        <v>8</v>
      </c>
    </row>
    <row r="19" spans="1:25" ht="22" customHeight="1" x14ac:dyDescent="0.2">
      <c r="A19" s="591" t="s">
        <v>264</v>
      </c>
      <c r="B19" s="592"/>
      <c r="C19" s="592"/>
      <c r="D19" s="592"/>
      <c r="E19" s="593"/>
      <c r="F19" s="593"/>
      <c r="G19" s="594"/>
      <c r="H19" s="358">
        <f>'EVALUER VOS OEUVRES'!D6</f>
        <v>0</v>
      </c>
      <c r="I19" s="418">
        <f>IF($I$17*2&lt;71,75,$I$17*1.65)</f>
        <v>74.25</v>
      </c>
      <c r="J19" s="599" t="s">
        <v>215</v>
      </c>
      <c r="K19" s="600"/>
      <c r="L19" s="600"/>
      <c r="M19" s="631"/>
      <c r="N19" s="631"/>
      <c r="O19" s="631"/>
      <c r="P19" s="631"/>
      <c r="Q19" s="631"/>
      <c r="R19" s="626"/>
      <c r="S19" s="627"/>
      <c r="T19" s="637"/>
      <c r="W19" s="324">
        <f>IF(AND($M$7&gt;11,$M$7&lt;12.1),$W$5*X19,0)</f>
        <v>0</v>
      </c>
      <c r="X19" s="324">
        <v>3.5</v>
      </c>
      <c r="Y19" s="324" t="s">
        <v>35</v>
      </c>
    </row>
    <row r="20" spans="1:25" ht="21" customHeight="1" x14ac:dyDescent="0.2">
      <c r="A20" s="580" t="s">
        <v>222</v>
      </c>
      <c r="B20" s="581"/>
      <c r="C20" s="581"/>
      <c r="D20" s="581"/>
      <c r="E20" s="582"/>
      <c r="F20" s="582"/>
      <c r="G20" s="583"/>
      <c r="H20" s="358">
        <f>'EVALUER VOS OEUVRES'!E6</f>
        <v>0</v>
      </c>
      <c r="I20" s="418">
        <f>IF($I$17*2&lt;201,200,$I$17*3)</f>
        <v>200</v>
      </c>
      <c r="J20" s="599" t="s">
        <v>195</v>
      </c>
      <c r="K20" s="600"/>
      <c r="L20" s="600"/>
      <c r="M20" s="631"/>
      <c r="N20" s="631"/>
      <c r="O20" s="631"/>
      <c r="P20" s="631"/>
      <c r="Q20" s="631"/>
      <c r="R20" s="626"/>
      <c r="S20" s="627"/>
      <c r="T20" s="637"/>
      <c r="W20" s="324"/>
      <c r="X20" s="325"/>
      <c r="Y20" s="325"/>
    </row>
    <row r="21" spans="1:25" ht="26" customHeight="1" x14ac:dyDescent="0.2">
      <c r="A21" s="359"/>
      <c r="B21" s="360"/>
      <c r="C21" s="360"/>
      <c r="D21" s="360"/>
      <c r="E21" s="361"/>
      <c r="F21" s="361"/>
      <c r="G21" s="361"/>
      <c r="H21" s="362"/>
      <c r="I21" s="363"/>
      <c r="J21" s="364"/>
      <c r="K21" s="604" t="s">
        <v>276</v>
      </c>
      <c r="L21" s="604"/>
      <c r="M21" s="605"/>
      <c r="N21" s="605"/>
      <c r="O21" s="356"/>
      <c r="P21" s="356"/>
      <c r="Q21" s="357"/>
      <c r="R21" s="626"/>
      <c r="S21" s="627"/>
      <c r="T21" s="637"/>
      <c r="W21" s="328">
        <f>SUM(W6:W20)</f>
        <v>540</v>
      </c>
      <c r="X21" s="325"/>
      <c r="Y21" s="325"/>
    </row>
    <row r="22" spans="1:25" ht="34" customHeight="1" x14ac:dyDescent="0.2">
      <c r="A22" s="365" t="s">
        <v>152</v>
      </c>
      <c r="B22" s="615" t="s">
        <v>153</v>
      </c>
      <c r="C22" s="615"/>
      <c r="D22" s="616"/>
      <c r="E22" s="601" t="s">
        <v>9</v>
      </c>
      <c r="F22" s="602"/>
      <c r="G22" s="602"/>
      <c r="H22" s="603"/>
      <c r="I22" s="366">
        <f>'EVALUER VOS OEUVRES'!C9</f>
        <v>9</v>
      </c>
      <c r="J22" s="367" t="s">
        <v>154</v>
      </c>
      <c r="K22" s="367" t="s">
        <v>200</v>
      </c>
      <c r="L22" s="367" t="s">
        <v>201</v>
      </c>
      <c r="M22" s="570" t="s">
        <v>285</v>
      </c>
      <c r="N22" s="571"/>
      <c r="O22" s="572"/>
      <c r="P22" s="347"/>
      <c r="Q22" s="337"/>
      <c r="R22" s="626"/>
      <c r="S22" s="627"/>
      <c r="T22" s="637"/>
      <c r="W22" s="68"/>
    </row>
    <row r="23" spans="1:25" ht="26" customHeight="1" x14ac:dyDescent="0.2">
      <c r="A23" s="564" t="s">
        <v>138</v>
      </c>
      <c r="B23" s="565"/>
      <c r="C23" s="565"/>
      <c r="D23" s="565"/>
      <c r="E23" s="565"/>
      <c r="F23" s="565"/>
      <c r="G23" s="565"/>
      <c r="H23" s="565"/>
      <c r="I23" s="566"/>
      <c r="J23" s="368" t="str">
        <f>IF(I22&lt;11,"x","")</f>
        <v>x</v>
      </c>
      <c r="K23" s="369" t="str">
        <f>IF(AND(I22&gt;10,I22&lt;21),"x","")</f>
        <v/>
      </c>
      <c r="L23" s="370" t="str">
        <f>IF(AND(I22&gt;20,I22&lt;31),"x","")</f>
        <v/>
      </c>
      <c r="M23" s="573"/>
      <c r="N23" s="574"/>
      <c r="O23" s="575"/>
      <c r="P23" s="371"/>
      <c r="Q23" s="372"/>
      <c r="R23" s="627"/>
      <c r="S23" s="627"/>
      <c r="T23" s="637"/>
    </row>
    <row r="24" spans="1:25" ht="25" customHeight="1" x14ac:dyDescent="0.2">
      <c r="A24" s="564" t="s">
        <v>83</v>
      </c>
      <c r="B24" s="565"/>
      <c r="C24" s="565"/>
      <c r="D24" s="565"/>
      <c r="E24" s="565"/>
      <c r="F24" s="565"/>
      <c r="G24" s="565"/>
      <c r="H24" s="565"/>
      <c r="I24" s="566"/>
      <c r="J24" s="373">
        <f>1+'EVALUER VOS OEUVRES'!F26</f>
        <v>1</v>
      </c>
      <c r="K24" s="374">
        <v>0.8</v>
      </c>
      <c r="L24" s="374">
        <v>0.6</v>
      </c>
      <c r="M24" s="422"/>
      <c r="N24" s="375" t="s">
        <v>281</v>
      </c>
      <c r="O24" s="422"/>
      <c r="P24" s="376"/>
      <c r="Q24" s="377"/>
      <c r="R24" s="628"/>
      <c r="S24" s="628"/>
      <c r="T24" s="637"/>
    </row>
    <row r="25" spans="1:25" ht="43" customHeight="1" x14ac:dyDescent="0.2">
      <c r="A25" s="619" t="s">
        <v>14</v>
      </c>
      <c r="B25" s="620"/>
      <c r="C25" s="620"/>
      <c r="D25" s="620"/>
      <c r="E25" s="620"/>
      <c r="F25" s="620"/>
      <c r="G25" s="620"/>
      <c r="H25" s="621"/>
      <c r="I25" s="378">
        <f>IF(H18&lt;&gt;0,I18,IF(H19="x",I19,IF(H20="x",I20,"-")))</f>
        <v>45</v>
      </c>
      <c r="J25" s="379" t="str">
        <f>"majoration ≤ "&amp;J21&amp;" exemplaires"</f>
        <v>majoration ≤  exemplaires</v>
      </c>
      <c r="K25" s="617" t="s">
        <v>81</v>
      </c>
      <c r="L25" s="618"/>
      <c r="M25" s="380" t="s">
        <v>45</v>
      </c>
      <c r="N25" s="380" t="s">
        <v>149</v>
      </c>
      <c r="O25" s="380" t="s">
        <v>125</v>
      </c>
      <c r="P25" s="380" t="s">
        <v>5</v>
      </c>
      <c r="Q25" s="380" t="s">
        <v>44</v>
      </c>
      <c r="R25" s="381">
        <f>'EVALUER VOS OEUVRES'!C13</f>
        <v>0</v>
      </c>
      <c r="S25" s="382" t="s">
        <v>84</v>
      </c>
      <c r="T25" s="637"/>
      <c r="U25" s="421" t="s">
        <v>287</v>
      </c>
    </row>
    <row r="26" spans="1:25" ht="19" customHeight="1" x14ac:dyDescent="0.2">
      <c r="A26" s="383">
        <v>1</v>
      </c>
      <c r="B26" s="384">
        <v>10</v>
      </c>
      <c r="C26" s="385" t="s">
        <v>280</v>
      </c>
      <c r="D26" s="386">
        <v>15</v>
      </c>
      <c r="E26" s="387">
        <f>B26+D26</f>
        <v>25</v>
      </c>
      <c r="F26" s="387">
        <v>1</v>
      </c>
      <c r="G26" s="388">
        <v>29</v>
      </c>
      <c r="H26" s="389" t="str">
        <f>B26*D26&amp;" cm2"</f>
        <v>150 cm2</v>
      </c>
      <c r="I26" s="390">
        <f>IF($R$25="x",(IF(AND(F26&lt;=$H$16,$H$16&lt;=G26),R26,0)),(IF(AND(F26&lt;=$H$16,$H$16&lt;=G26),$I$25,0)))</f>
        <v>0</v>
      </c>
      <c r="J26" s="391">
        <f>IF($J$23="x",(I26*A26)*$J$24,0)</f>
        <v>0</v>
      </c>
      <c r="K26" s="392">
        <f>IF($K$23="x",(I26*(A26+1))*$K$24,0)</f>
        <v>0</v>
      </c>
      <c r="L26" s="393">
        <f>IF($L$23="x",(I26*(A26+1))*$L$24,0)</f>
        <v>0</v>
      </c>
      <c r="M26" s="394" t="b">
        <f>IF(SUM(J26:L26)&gt;0,IF($M$14&gt;0,$M$14,U26))</f>
        <v>0</v>
      </c>
      <c r="N26" s="395">
        <f>SUM(J26:L26)+M26</f>
        <v>0</v>
      </c>
      <c r="O26" s="410" t="b">
        <f t="shared" ref="O26:O46" si="0">IF(SUM(J26:L26)&gt;0,IF($O$14&gt;0,$O$14,U26*5))</f>
        <v>0</v>
      </c>
      <c r="P26" s="396">
        <f>O26+M26</f>
        <v>0</v>
      </c>
      <c r="Q26" s="397">
        <f>SUM(J26:L26)+P26</f>
        <v>0</v>
      </c>
      <c r="R26" s="398">
        <f>IF($R$25="x",($I$25*S26),$I$25)</f>
        <v>45</v>
      </c>
      <c r="S26" s="399">
        <v>2</v>
      </c>
      <c r="T26" s="637"/>
      <c r="U26" s="420">
        <v>5.65</v>
      </c>
    </row>
    <row r="27" spans="1:25" ht="19" customHeight="1" x14ac:dyDescent="0.2">
      <c r="A27" s="400">
        <v>1</v>
      </c>
      <c r="B27" s="401">
        <v>13</v>
      </c>
      <c r="C27" s="402" t="s">
        <v>280</v>
      </c>
      <c r="D27" s="403">
        <v>18</v>
      </c>
      <c r="E27" s="404">
        <f t="shared" ref="E27:E44" si="1">B27+D27</f>
        <v>31</v>
      </c>
      <c r="F27" s="404">
        <v>30</v>
      </c>
      <c r="G27" s="405">
        <v>37</v>
      </c>
      <c r="H27" s="406" t="str">
        <f t="shared" ref="H27:H40" si="2">B27*D27&amp;" cm2"</f>
        <v>234 cm2</v>
      </c>
      <c r="I27" s="407">
        <f>IF($R$25="x",(IF(AND(F27&lt;=$H$16,$H$16&lt;=G27),R27,0)),(IF(AND(F27&lt;=$H$16,$H$16&lt;=G27),$I$25,0)))</f>
        <v>0</v>
      </c>
      <c r="J27" s="391">
        <f t="shared" ref="J27:J31" si="3">IF($J$23="x",(I27*A27)*$J$24,0)</f>
        <v>0</v>
      </c>
      <c r="K27" s="391">
        <f>IF($K$23="x",(I27*A27)*$K$24,0)</f>
        <v>0</v>
      </c>
      <c r="L27" s="408">
        <f>IF($L$23="x",(I27*A27)*$L$24,0)</f>
        <v>0</v>
      </c>
      <c r="M27" s="394" t="b">
        <f t="shared" ref="M27:M46" si="4">IF(SUM(J27:L27)&gt;0,IF($M$14&gt;0,$M$14,U27))</f>
        <v>0</v>
      </c>
      <c r="N27" s="409">
        <f t="shared" ref="N27:N46" si="5">SUM(J27:L27)+M27</f>
        <v>0</v>
      </c>
      <c r="O27" s="410" t="b">
        <f t="shared" si="0"/>
        <v>0</v>
      </c>
      <c r="P27" s="411">
        <f t="shared" ref="P27:P44" si="6">O27+M27</f>
        <v>0</v>
      </c>
      <c r="Q27" s="412">
        <f t="shared" ref="Q27:Q46" si="7">SUM(J27:L27)+P27</f>
        <v>0</v>
      </c>
      <c r="R27" s="398">
        <f t="shared" ref="R27:R46" si="8">IF($R$25="x",($I$25*S27),$I$25)</f>
        <v>45</v>
      </c>
      <c r="S27" s="413">
        <v>1.5</v>
      </c>
      <c r="T27" s="637"/>
      <c r="U27" s="420">
        <v>6.5</v>
      </c>
    </row>
    <row r="28" spans="1:25" ht="19" customHeight="1" x14ac:dyDescent="0.2">
      <c r="A28" s="400">
        <v>2</v>
      </c>
      <c r="B28" s="401">
        <v>18</v>
      </c>
      <c r="C28" s="402" t="s">
        <v>280</v>
      </c>
      <c r="D28" s="403">
        <v>24</v>
      </c>
      <c r="E28" s="404">
        <f t="shared" si="1"/>
        <v>42</v>
      </c>
      <c r="F28" s="404">
        <v>38</v>
      </c>
      <c r="G28" s="405">
        <v>42</v>
      </c>
      <c r="H28" s="406" t="str">
        <f t="shared" si="2"/>
        <v>432 cm2</v>
      </c>
      <c r="I28" s="407">
        <f t="shared" ref="I28:I46" si="9">IF($R$25="x",(IF(AND(F28&lt;=$H$16,$H$16&lt;=G28),R28,0)),(IF(AND(F28&lt;=$H$16,$H$16&lt;=G28),$I$25,0)))</f>
        <v>0</v>
      </c>
      <c r="J28" s="391">
        <f t="shared" si="3"/>
        <v>0</v>
      </c>
      <c r="K28" s="391">
        <f t="shared" ref="K28:K46" si="10">IF($K$23="x",(I28*A28)*$K$24,0)</f>
        <v>0</v>
      </c>
      <c r="L28" s="408">
        <f t="shared" ref="L28:L46" si="11">IF($L$23="x",(I28*A28)*$L$24,0)</f>
        <v>0</v>
      </c>
      <c r="M28" s="394" t="b">
        <f t="shared" si="4"/>
        <v>0</v>
      </c>
      <c r="N28" s="409">
        <f t="shared" si="5"/>
        <v>0</v>
      </c>
      <c r="O28" s="410" t="b">
        <f t="shared" si="0"/>
        <v>0</v>
      </c>
      <c r="P28" s="411">
        <f t="shared" si="6"/>
        <v>0</v>
      </c>
      <c r="Q28" s="412">
        <f t="shared" si="7"/>
        <v>0</v>
      </c>
      <c r="R28" s="398">
        <f t="shared" si="8"/>
        <v>45</v>
      </c>
      <c r="S28" s="413">
        <v>1.3</v>
      </c>
      <c r="T28" s="637"/>
      <c r="U28" s="420">
        <v>8.5</v>
      </c>
    </row>
    <row r="29" spans="1:25" ht="19" customHeight="1" x14ac:dyDescent="0.2">
      <c r="A29" s="400">
        <v>3</v>
      </c>
      <c r="B29" s="401">
        <v>20</v>
      </c>
      <c r="C29" s="402" t="s">
        <v>280</v>
      </c>
      <c r="D29" s="403">
        <v>25</v>
      </c>
      <c r="E29" s="404">
        <f t="shared" si="1"/>
        <v>45</v>
      </c>
      <c r="F29" s="404">
        <v>43</v>
      </c>
      <c r="G29" s="405">
        <v>49</v>
      </c>
      <c r="H29" s="406" t="str">
        <f t="shared" si="2"/>
        <v>500 cm2</v>
      </c>
      <c r="I29" s="407">
        <f>IF($R$25="x",(IF(AND(F29&lt;=$H$16,$H$16&lt;=G29),R29,0)),(IF(AND(F29&lt;=$H$16,$H$16&lt;=G29),$I$25,0)))</f>
        <v>0</v>
      </c>
      <c r="J29" s="391">
        <f t="shared" si="3"/>
        <v>0</v>
      </c>
      <c r="K29" s="391">
        <f t="shared" si="10"/>
        <v>0</v>
      </c>
      <c r="L29" s="408">
        <f t="shared" si="11"/>
        <v>0</v>
      </c>
      <c r="M29" s="394" t="b">
        <f t="shared" si="4"/>
        <v>0</v>
      </c>
      <c r="N29" s="409">
        <f t="shared" si="5"/>
        <v>0</v>
      </c>
      <c r="O29" s="410" t="b">
        <f t="shared" si="0"/>
        <v>0</v>
      </c>
      <c r="P29" s="411">
        <f t="shared" si="6"/>
        <v>0</v>
      </c>
      <c r="Q29" s="412">
        <f t="shared" si="7"/>
        <v>0</v>
      </c>
      <c r="R29" s="398">
        <f t="shared" si="8"/>
        <v>45</v>
      </c>
      <c r="S29" s="413">
        <v>1.2</v>
      </c>
      <c r="T29" s="637"/>
      <c r="U29" s="420">
        <v>9.19</v>
      </c>
    </row>
    <row r="30" spans="1:25" ht="19" customHeight="1" x14ac:dyDescent="0.2">
      <c r="A30" s="400">
        <v>4</v>
      </c>
      <c r="B30" s="401">
        <v>24</v>
      </c>
      <c r="C30" s="402" t="s">
        <v>280</v>
      </c>
      <c r="D30" s="403">
        <v>30</v>
      </c>
      <c r="E30" s="404">
        <f t="shared" si="1"/>
        <v>54</v>
      </c>
      <c r="F30" s="404">
        <v>50</v>
      </c>
      <c r="G30" s="405">
        <v>57</v>
      </c>
      <c r="H30" s="406" t="str">
        <f t="shared" si="2"/>
        <v>720 cm2</v>
      </c>
      <c r="I30" s="407">
        <f t="shared" si="9"/>
        <v>0</v>
      </c>
      <c r="J30" s="391">
        <f t="shared" si="3"/>
        <v>0</v>
      </c>
      <c r="K30" s="391">
        <f t="shared" si="10"/>
        <v>0</v>
      </c>
      <c r="L30" s="408">
        <f t="shared" si="11"/>
        <v>0</v>
      </c>
      <c r="M30" s="394" t="b">
        <f t="shared" si="4"/>
        <v>0</v>
      </c>
      <c r="N30" s="409">
        <f t="shared" si="5"/>
        <v>0</v>
      </c>
      <c r="O30" s="410" t="b">
        <f t="shared" si="0"/>
        <v>0</v>
      </c>
      <c r="P30" s="411">
        <f t="shared" si="6"/>
        <v>0</v>
      </c>
      <c r="Q30" s="412">
        <f t="shared" si="7"/>
        <v>0</v>
      </c>
      <c r="R30" s="398">
        <f t="shared" si="8"/>
        <v>45</v>
      </c>
      <c r="S30" s="413">
        <v>1.1000000000000001</v>
      </c>
      <c r="T30" s="637"/>
      <c r="U30" s="420">
        <v>11.42</v>
      </c>
    </row>
    <row r="31" spans="1:25" ht="19" customHeight="1" x14ac:dyDescent="0.2">
      <c r="A31" s="400">
        <v>5</v>
      </c>
      <c r="B31" s="401">
        <v>30</v>
      </c>
      <c r="C31" s="402" t="s">
        <v>280</v>
      </c>
      <c r="D31" s="403">
        <v>30</v>
      </c>
      <c r="E31" s="404">
        <f t="shared" si="1"/>
        <v>60</v>
      </c>
      <c r="F31" s="404">
        <v>58</v>
      </c>
      <c r="G31" s="405">
        <v>64</v>
      </c>
      <c r="H31" s="406" t="str">
        <f t="shared" si="2"/>
        <v>900 cm2</v>
      </c>
      <c r="I31" s="407">
        <f>IF($R$25="x",(IF(AND(F31&lt;=$H$16,$H$16&lt;=G31),R31,0)),(IF(AND(F31&lt;=$H$16,$H$16&lt;=G31),$I$25,0)))</f>
        <v>0</v>
      </c>
      <c r="J31" s="391">
        <f t="shared" si="3"/>
        <v>0</v>
      </c>
      <c r="K31" s="391">
        <f t="shared" si="10"/>
        <v>0</v>
      </c>
      <c r="L31" s="408">
        <f t="shared" si="11"/>
        <v>0</v>
      </c>
      <c r="M31" s="394" t="b">
        <f t="shared" si="4"/>
        <v>0</v>
      </c>
      <c r="N31" s="409">
        <f t="shared" si="5"/>
        <v>0</v>
      </c>
      <c r="O31" s="410" t="b">
        <f t="shared" si="0"/>
        <v>0</v>
      </c>
      <c r="P31" s="411">
        <f t="shared" si="6"/>
        <v>0</v>
      </c>
      <c r="Q31" s="412">
        <f t="shared" si="7"/>
        <v>0</v>
      </c>
      <c r="R31" s="398">
        <f t="shared" si="8"/>
        <v>45</v>
      </c>
      <c r="S31" s="413">
        <v>1</v>
      </c>
      <c r="T31" s="637"/>
      <c r="U31" s="420">
        <v>13.24</v>
      </c>
    </row>
    <row r="32" spans="1:25" ht="19" customHeight="1" x14ac:dyDescent="0.2">
      <c r="A32" s="400">
        <v>6</v>
      </c>
      <c r="B32" s="401">
        <v>30</v>
      </c>
      <c r="C32" s="402" t="s">
        <v>280</v>
      </c>
      <c r="D32" s="403">
        <v>40</v>
      </c>
      <c r="E32" s="404">
        <f t="shared" si="1"/>
        <v>70</v>
      </c>
      <c r="F32" s="404">
        <v>65</v>
      </c>
      <c r="G32" s="405">
        <v>73</v>
      </c>
      <c r="H32" s="406" t="str">
        <f t="shared" si="2"/>
        <v>1200 cm2</v>
      </c>
      <c r="I32" s="407">
        <f>IF($R$25="x",(IF(AND(F32&lt;=$H$16,$H$16&lt;=G32),R32,0)),(IF(AND(F32&lt;=$H$16,$H$16&lt;=G32),$I$25,0)))</f>
        <v>45</v>
      </c>
      <c r="J32" s="391">
        <f>IF($J$23="x",(I32*A32)*$J$24,0)</f>
        <v>270</v>
      </c>
      <c r="K32" s="391">
        <f>IF($K$23="x",(I32*A32)*$K$24,0)</f>
        <v>0</v>
      </c>
      <c r="L32" s="408">
        <f t="shared" si="11"/>
        <v>0</v>
      </c>
      <c r="M32" s="394">
        <f t="shared" si="4"/>
        <v>16.28</v>
      </c>
      <c r="N32" s="409">
        <f t="shared" si="5"/>
        <v>286.27999999999997</v>
      </c>
      <c r="O32" s="410">
        <f>IF(SUM(J32:L32)&gt;0,IF($O$14&gt;0,$O$14,U32*5))</f>
        <v>81.400000000000006</v>
      </c>
      <c r="P32" s="411">
        <f t="shared" si="6"/>
        <v>97.68</v>
      </c>
      <c r="Q32" s="412">
        <f t="shared" si="7"/>
        <v>367.68</v>
      </c>
      <c r="R32" s="398">
        <f t="shared" si="8"/>
        <v>45</v>
      </c>
      <c r="S32" s="413">
        <v>1</v>
      </c>
      <c r="T32" s="637"/>
      <c r="U32" s="420">
        <v>16.28</v>
      </c>
    </row>
    <row r="33" spans="1:21" ht="19" customHeight="1" x14ac:dyDescent="0.2">
      <c r="A33" s="400">
        <v>8</v>
      </c>
      <c r="B33" s="401">
        <v>40</v>
      </c>
      <c r="C33" s="402" t="s">
        <v>280</v>
      </c>
      <c r="D33" s="403">
        <v>40</v>
      </c>
      <c r="E33" s="404">
        <f t="shared" si="1"/>
        <v>80</v>
      </c>
      <c r="F33" s="404">
        <v>74</v>
      </c>
      <c r="G33" s="405">
        <v>85</v>
      </c>
      <c r="H33" s="406" t="str">
        <f t="shared" si="2"/>
        <v>1600 cm2</v>
      </c>
      <c r="I33" s="407">
        <f t="shared" si="9"/>
        <v>0</v>
      </c>
      <c r="J33" s="391">
        <f t="shared" ref="J33:J46" si="12">IF($J$23="x",(I33*A33)*$J$24,0)</f>
        <v>0</v>
      </c>
      <c r="K33" s="391">
        <f t="shared" si="10"/>
        <v>0</v>
      </c>
      <c r="L33" s="408">
        <f t="shared" si="11"/>
        <v>0</v>
      </c>
      <c r="M33" s="394" t="b">
        <f t="shared" si="4"/>
        <v>0</v>
      </c>
      <c r="N33" s="409">
        <f t="shared" si="5"/>
        <v>0</v>
      </c>
      <c r="O33" s="410" t="b">
        <f t="shared" si="0"/>
        <v>0</v>
      </c>
      <c r="P33" s="411">
        <f t="shared" si="6"/>
        <v>0</v>
      </c>
      <c r="Q33" s="412">
        <f t="shared" si="7"/>
        <v>0</v>
      </c>
      <c r="R33" s="398">
        <f t="shared" si="8"/>
        <v>45</v>
      </c>
      <c r="S33" s="413">
        <v>1</v>
      </c>
      <c r="T33" s="637"/>
      <c r="U33" s="420">
        <v>20.32</v>
      </c>
    </row>
    <row r="34" spans="1:21" ht="19" customHeight="1" x14ac:dyDescent="0.2">
      <c r="A34" s="400">
        <v>10</v>
      </c>
      <c r="B34" s="401">
        <v>40</v>
      </c>
      <c r="C34" s="402" t="s">
        <v>280</v>
      </c>
      <c r="D34" s="403">
        <v>50</v>
      </c>
      <c r="E34" s="404">
        <f t="shared" si="1"/>
        <v>90</v>
      </c>
      <c r="F34" s="404">
        <v>86</v>
      </c>
      <c r="G34" s="405">
        <v>99</v>
      </c>
      <c r="H34" s="406" t="str">
        <f t="shared" si="2"/>
        <v>2000 cm2</v>
      </c>
      <c r="I34" s="407">
        <f t="shared" si="9"/>
        <v>0</v>
      </c>
      <c r="J34" s="391">
        <f t="shared" si="12"/>
        <v>0</v>
      </c>
      <c r="K34" s="391">
        <f t="shared" si="10"/>
        <v>0</v>
      </c>
      <c r="L34" s="408">
        <f t="shared" si="11"/>
        <v>0</v>
      </c>
      <c r="M34" s="394" t="b">
        <f t="shared" si="4"/>
        <v>0</v>
      </c>
      <c r="N34" s="409">
        <f t="shared" si="5"/>
        <v>0</v>
      </c>
      <c r="O34" s="410" t="b">
        <f t="shared" si="0"/>
        <v>0</v>
      </c>
      <c r="P34" s="411">
        <f t="shared" si="6"/>
        <v>0</v>
      </c>
      <c r="Q34" s="412">
        <f t="shared" si="7"/>
        <v>0</v>
      </c>
      <c r="R34" s="398">
        <f t="shared" si="8"/>
        <v>45</v>
      </c>
      <c r="S34" s="413">
        <v>1</v>
      </c>
      <c r="T34" s="637"/>
      <c r="U34" s="420">
        <v>24.37</v>
      </c>
    </row>
    <row r="35" spans="1:21" ht="19" customHeight="1" x14ac:dyDescent="0.2">
      <c r="A35" s="400">
        <v>12</v>
      </c>
      <c r="B35" s="401">
        <v>50</v>
      </c>
      <c r="C35" s="402" t="s">
        <v>280</v>
      </c>
      <c r="D35" s="403">
        <v>50</v>
      </c>
      <c r="E35" s="404">
        <f t="shared" si="1"/>
        <v>100</v>
      </c>
      <c r="F35" s="404">
        <v>100</v>
      </c>
      <c r="G35" s="405">
        <v>109</v>
      </c>
      <c r="H35" s="406" t="str">
        <f t="shared" si="2"/>
        <v>2500 cm2</v>
      </c>
      <c r="I35" s="407">
        <f t="shared" si="9"/>
        <v>0</v>
      </c>
      <c r="J35" s="391">
        <f t="shared" si="12"/>
        <v>0</v>
      </c>
      <c r="K35" s="391">
        <f t="shared" si="10"/>
        <v>0</v>
      </c>
      <c r="L35" s="408">
        <f t="shared" si="11"/>
        <v>0</v>
      </c>
      <c r="M35" s="394" t="b">
        <f t="shared" si="4"/>
        <v>0</v>
      </c>
      <c r="N35" s="409">
        <f t="shared" si="5"/>
        <v>0</v>
      </c>
      <c r="O35" s="410" t="b">
        <f t="shared" si="0"/>
        <v>0</v>
      </c>
      <c r="P35" s="411">
        <f t="shared" si="6"/>
        <v>0</v>
      </c>
      <c r="Q35" s="412">
        <f t="shared" si="7"/>
        <v>0</v>
      </c>
      <c r="R35" s="398">
        <f t="shared" si="8"/>
        <v>45</v>
      </c>
      <c r="S35" s="413">
        <v>1</v>
      </c>
      <c r="T35" s="637"/>
      <c r="U35" s="420">
        <v>29.43</v>
      </c>
    </row>
    <row r="36" spans="1:21" ht="19" customHeight="1" x14ac:dyDescent="0.2">
      <c r="A36" s="400">
        <v>15</v>
      </c>
      <c r="B36" s="401">
        <v>50</v>
      </c>
      <c r="C36" s="402" t="s">
        <v>280</v>
      </c>
      <c r="D36" s="403">
        <v>60</v>
      </c>
      <c r="E36" s="404">
        <f t="shared" si="1"/>
        <v>110</v>
      </c>
      <c r="F36" s="404">
        <v>110</v>
      </c>
      <c r="G36" s="405">
        <v>119</v>
      </c>
      <c r="H36" s="406" t="str">
        <f t="shared" si="2"/>
        <v>3000 cm2</v>
      </c>
      <c r="I36" s="407">
        <f t="shared" si="9"/>
        <v>0</v>
      </c>
      <c r="J36" s="391">
        <f t="shared" si="12"/>
        <v>0</v>
      </c>
      <c r="K36" s="391">
        <f t="shared" si="10"/>
        <v>0</v>
      </c>
      <c r="L36" s="408">
        <f t="shared" si="11"/>
        <v>0</v>
      </c>
      <c r="M36" s="394" t="b">
        <f t="shared" si="4"/>
        <v>0</v>
      </c>
      <c r="N36" s="409">
        <f t="shared" si="5"/>
        <v>0</v>
      </c>
      <c r="O36" s="410" t="b">
        <f t="shared" si="0"/>
        <v>0</v>
      </c>
      <c r="P36" s="411">
        <f t="shared" si="6"/>
        <v>0</v>
      </c>
      <c r="Q36" s="412">
        <f t="shared" si="7"/>
        <v>0</v>
      </c>
      <c r="R36" s="398">
        <f t="shared" si="8"/>
        <v>45</v>
      </c>
      <c r="S36" s="413">
        <v>1</v>
      </c>
      <c r="T36" s="637"/>
      <c r="U36" s="420">
        <v>34.49</v>
      </c>
    </row>
    <row r="37" spans="1:21" ht="19" customHeight="1" x14ac:dyDescent="0.2">
      <c r="A37" s="400">
        <v>20</v>
      </c>
      <c r="B37" s="401">
        <v>60</v>
      </c>
      <c r="C37" s="402" t="s">
        <v>280</v>
      </c>
      <c r="D37" s="403">
        <v>60</v>
      </c>
      <c r="E37" s="404">
        <f t="shared" si="1"/>
        <v>120</v>
      </c>
      <c r="F37" s="404">
        <v>120</v>
      </c>
      <c r="G37" s="405">
        <v>134</v>
      </c>
      <c r="H37" s="406" t="str">
        <f t="shared" si="2"/>
        <v>3600 cm2</v>
      </c>
      <c r="I37" s="407">
        <f t="shared" si="9"/>
        <v>0</v>
      </c>
      <c r="J37" s="391">
        <f t="shared" si="12"/>
        <v>0</v>
      </c>
      <c r="K37" s="391">
        <f t="shared" si="10"/>
        <v>0</v>
      </c>
      <c r="L37" s="408">
        <f t="shared" si="11"/>
        <v>0</v>
      </c>
      <c r="M37" s="394" t="b">
        <f t="shared" si="4"/>
        <v>0</v>
      </c>
      <c r="N37" s="409">
        <f t="shared" si="5"/>
        <v>0</v>
      </c>
      <c r="O37" s="410" t="b">
        <f t="shared" si="0"/>
        <v>0</v>
      </c>
      <c r="P37" s="411">
        <f t="shared" si="6"/>
        <v>0</v>
      </c>
      <c r="Q37" s="412">
        <f t="shared" si="7"/>
        <v>0</v>
      </c>
      <c r="R37" s="398">
        <f t="shared" si="8"/>
        <v>45</v>
      </c>
      <c r="S37" s="413">
        <v>1</v>
      </c>
      <c r="T37" s="637"/>
      <c r="U37" s="420">
        <v>40.57</v>
      </c>
    </row>
    <row r="38" spans="1:21" ht="19" customHeight="1" x14ac:dyDescent="0.2">
      <c r="A38" s="400">
        <v>25</v>
      </c>
      <c r="B38" s="401">
        <v>60</v>
      </c>
      <c r="C38" s="402" t="s">
        <v>280</v>
      </c>
      <c r="D38" s="403">
        <v>80</v>
      </c>
      <c r="E38" s="404">
        <f t="shared" si="1"/>
        <v>140</v>
      </c>
      <c r="F38" s="404">
        <v>135</v>
      </c>
      <c r="G38" s="405">
        <v>149</v>
      </c>
      <c r="H38" s="406" t="str">
        <f t="shared" si="2"/>
        <v>4800 cm2</v>
      </c>
      <c r="I38" s="407">
        <f t="shared" si="9"/>
        <v>0</v>
      </c>
      <c r="J38" s="391">
        <f t="shared" si="12"/>
        <v>0</v>
      </c>
      <c r="K38" s="391">
        <f t="shared" si="10"/>
        <v>0</v>
      </c>
      <c r="L38" s="408">
        <f t="shared" si="11"/>
        <v>0</v>
      </c>
      <c r="M38" s="394" t="b">
        <f t="shared" si="4"/>
        <v>0</v>
      </c>
      <c r="N38" s="409">
        <f t="shared" si="5"/>
        <v>0</v>
      </c>
      <c r="O38" s="410" t="b">
        <f t="shared" si="0"/>
        <v>0</v>
      </c>
      <c r="P38" s="411">
        <f t="shared" si="6"/>
        <v>0</v>
      </c>
      <c r="Q38" s="412">
        <f t="shared" si="7"/>
        <v>0</v>
      </c>
      <c r="R38" s="398">
        <f t="shared" si="8"/>
        <v>45</v>
      </c>
      <c r="S38" s="413">
        <v>1</v>
      </c>
      <c r="T38" s="637"/>
      <c r="U38" s="420">
        <v>52.71</v>
      </c>
    </row>
    <row r="39" spans="1:21" ht="19" customHeight="1" x14ac:dyDescent="0.2">
      <c r="A39" s="400">
        <v>30</v>
      </c>
      <c r="B39" s="401">
        <v>80</v>
      </c>
      <c r="C39" s="402" t="s">
        <v>280</v>
      </c>
      <c r="D39" s="403">
        <v>80</v>
      </c>
      <c r="E39" s="404">
        <f t="shared" si="1"/>
        <v>160</v>
      </c>
      <c r="F39" s="404">
        <v>150</v>
      </c>
      <c r="G39" s="405">
        <v>165</v>
      </c>
      <c r="H39" s="406" t="str">
        <f t="shared" si="2"/>
        <v>6400 cm2</v>
      </c>
      <c r="I39" s="407">
        <f t="shared" si="9"/>
        <v>0</v>
      </c>
      <c r="J39" s="391">
        <f t="shared" si="12"/>
        <v>0</v>
      </c>
      <c r="K39" s="391">
        <f t="shared" si="10"/>
        <v>0</v>
      </c>
      <c r="L39" s="408">
        <f t="shared" si="11"/>
        <v>0</v>
      </c>
      <c r="M39" s="394" t="b">
        <f t="shared" si="4"/>
        <v>0</v>
      </c>
      <c r="N39" s="409">
        <f t="shared" si="5"/>
        <v>0</v>
      </c>
      <c r="O39" s="410" t="b">
        <f t="shared" si="0"/>
        <v>0</v>
      </c>
      <c r="P39" s="411">
        <f>O39+M39</f>
        <v>0</v>
      </c>
      <c r="Q39" s="412">
        <f t="shared" si="7"/>
        <v>0</v>
      </c>
      <c r="R39" s="398">
        <f t="shared" si="8"/>
        <v>45</v>
      </c>
      <c r="S39" s="413">
        <v>0.9</v>
      </c>
      <c r="T39" s="637"/>
      <c r="U39" s="420">
        <v>68.91</v>
      </c>
    </row>
    <row r="40" spans="1:21" ht="19" customHeight="1" x14ac:dyDescent="0.2">
      <c r="A40" s="400">
        <v>40</v>
      </c>
      <c r="B40" s="401">
        <v>80</v>
      </c>
      <c r="C40" s="402" t="s">
        <v>280</v>
      </c>
      <c r="D40" s="403">
        <v>100</v>
      </c>
      <c r="E40" s="404">
        <f>B40+D40</f>
        <v>180</v>
      </c>
      <c r="F40" s="404">
        <v>166</v>
      </c>
      <c r="G40" s="405">
        <v>185</v>
      </c>
      <c r="H40" s="406" t="str">
        <f t="shared" si="2"/>
        <v>8000 cm2</v>
      </c>
      <c r="I40" s="407">
        <f t="shared" si="9"/>
        <v>0</v>
      </c>
      <c r="J40" s="391">
        <f t="shared" si="12"/>
        <v>0</v>
      </c>
      <c r="K40" s="391">
        <f t="shared" si="10"/>
        <v>0</v>
      </c>
      <c r="L40" s="408">
        <f t="shared" si="11"/>
        <v>0</v>
      </c>
      <c r="M40" s="394" t="b">
        <f t="shared" si="4"/>
        <v>0</v>
      </c>
      <c r="N40" s="409">
        <f t="shared" si="5"/>
        <v>0</v>
      </c>
      <c r="O40" s="410" t="b">
        <f t="shared" si="0"/>
        <v>0</v>
      </c>
      <c r="P40" s="411">
        <f t="shared" si="6"/>
        <v>0</v>
      </c>
      <c r="Q40" s="412">
        <f t="shared" si="7"/>
        <v>0</v>
      </c>
      <c r="R40" s="398">
        <f t="shared" si="8"/>
        <v>45</v>
      </c>
      <c r="S40" s="413">
        <v>0.9</v>
      </c>
      <c r="T40" s="637"/>
      <c r="U40" s="420">
        <v>85.1</v>
      </c>
    </row>
    <row r="41" spans="1:21" ht="19" customHeight="1" x14ac:dyDescent="0.2">
      <c r="A41" s="400">
        <v>50</v>
      </c>
      <c r="B41" s="401">
        <v>100</v>
      </c>
      <c r="C41" s="402" t="s">
        <v>280</v>
      </c>
      <c r="D41" s="403">
        <v>100</v>
      </c>
      <c r="E41" s="404">
        <f t="shared" si="1"/>
        <v>200</v>
      </c>
      <c r="F41" s="404">
        <v>186</v>
      </c>
      <c r="G41" s="405">
        <v>205</v>
      </c>
      <c r="H41" s="406" t="str">
        <f t="shared" ref="H41:H46" si="13">(B41*D41)/10000&amp;" m2"</f>
        <v>1 m2</v>
      </c>
      <c r="I41" s="407">
        <f t="shared" si="9"/>
        <v>0</v>
      </c>
      <c r="J41" s="391">
        <f t="shared" si="12"/>
        <v>0</v>
      </c>
      <c r="K41" s="391">
        <f t="shared" si="10"/>
        <v>0</v>
      </c>
      <c r="L41" s="408">
        <f t="shared" si="11"/>
        <v>0</v>
      </c>
      <c r="M41" s="394" t="b">
        <f t="shared" si="4"/>
        <v>0</v>
      </c>
      <c r="N41" s="409">
        <f t="shared" si="5"/>
        <v>0</v>
      </c>
      <c r="O41" s="410" t="b">
        <f t="shared" si="0"/>
        <v>0</v>
      </c>
      <c r="P41" s="411">
        <f t="shared" si="6"/>
        <v>0</v>
      </c>
      <c r="Q41" s="412">
        <f t="shared" si="7"/>
        <v>0</v>
      </c>
      <c r="R41" s="398">
        <f t="shared" si="8"/>
        <v>45</v>
      </c>
      <c r="S41" s="413">
        <v>0.7</v>
      </c>
      <c r="T41" s="637"/>
      <c r="U41" s="420">
        <v>105.35</v>
      </c>
    </row>
    <row r="42" spans="1:21" ht="19" customHeight="1" x14ac:dyDescent="0.2">
      <c r="A42" s="400">
        <v>60</v>
      </c>
      <c r="B42" s="401">
        <v>130</v>
      </c>
      <c r="C42" s="402" t="s">
        <v>280</v>
      </c>
      <c r="D42" s="403">
        <v>100</v>
      </c>
      <c r="E42" s="404">
        <f t="shared" si="1"/>
        <v>230</v>
      </c>
      <c r="F42" s="404">
        <v>206</v>
      </c>
      <c r="G42" s="405">
        <v>230</v>
      </c>
      <c r="H42" s="406" t="str">
        <f t="shared" si="13"/>
        <v>1,3 m2</v>
      </c>
      <c r="I42" s="407">
        <f t="shared" si="9"/>
        <v>0</v>
      </c>
      <c r="J42" s="391">
        <f t="shared" si="12"/>
        <v>0</v>
      </c>
      <c r="K42" s="391">
        <f t="shared" si="10"/>
        <v>0</v>
      </c>
      <c r="L42" s="408">
        <f t="shared" si="11"/>
        <v>0</v>
      </c>
      <c r="M42" s="394" t="b">
        <f t="shared" si="4"/>
        <v>0</v>
      </c>
      <c r="N42" s="409">
        <f t="shared" si="5"/>
        <v>0</v>
      </c>
      <c r="O42" s="410" t="b">
        <f t="shared" si="0"/>
        <v>0</v>
      </c>
      <c r="P42" s="411">
        <f t="shared" si="6"/>
        <v>0</v>
      </c>
      <c r="Q42" s="412">
        <f t="shared" si="7"/>
        <v>0</v>
      </c>
      <c r="R42" s="398">
        <f t="shared" si="8"/>
        <v>45</v>
      </c>
      <c r="S42" s="413">
        <v>0.7</v>
      </c>
      <c r="T42" s="637"/>
      <c r="U42" s="420">
        <v>139.96</v>
      </c>
    </row>
    <row r="43" spans="1:21" ht="19" customHeight="1" x14ac:dyDescent="0.2">
      <c r="A43" s="400">
        <v>80</v>
      </c>
      <c r="B43" s="401">
        <v>146</v>
      </c>
      <c r="C43" s="402" t="s">
        <v>280</v>
      </c>
      <c r="D43" s="403">
        <v>114</v>
      </c>
      <c r="E43" s="404">
        <f t="shared" si="1"/>
        <v>260</v>
      </c>
      <c r="F43" s="404">
        <v>231</v>
      </c>
      <c r="G43" s="405">
        <v>260</v>
      </c>
      <c r="H43" s="406" t="str">
        <f t="shared" si="13"/>
        <v>1,6644 m2</v>
      </c>
      <c r="I43" s="407">
        <f t="shared" si="9"/>
        <v>0</v>
      </c>
      <c r="J43" s="391">
        <f t="shared" si="12"/>
        <v>0</v>
      </c>
      <c r="K43" s="391">
        <f t="shared" si="10"/>
        <v>0</v>
      </c>
      <c r="L43" s="408">
        <f t="shared" si="11"/>
        <v>0</v>
      </c>
      <c r="M43" s="394" t="b">
        <f t="shared" si="4"/>
        <v>0</v>
      </c>
      <c r="N43" s="409">
        <f t="shared" si="5"/>
        <v>0</v>
      </c>
      <c r="O43" s="410" t="b">
        <f t="shared" si="0"/>
        <v>0</v>
      </c>
      <c r="P43" s="411">
        <f t="shared" si="6"/>
        <v>0</v>
      </c>
      <c r="Q43" s="412">
        <f t="shared" si="7"/>
        <v>0</v>
      </c>
      <c r="R43" s="398">
        <f t="shared" si="8"/>
        <v>45</v>
      </c>
      <c r="S43" s="413">
        <v>0.6</v>
      </c>
      <c r="T43" s="637"/>
      <c r="U43" s="420">
        <v>175.35</v>
      </c>
    </row>
    <row r="44" spans="1:21" ht="19" customHeight="1" x14ac:dyDescent="0.2">
      <c r="A44" s="400">
        <v>100</v>
      </c>
      <c r="B44" s="401">
        <v>162</v>
      </c>
      <c r="C44" s="402" t="s">
        <v>280</v>
      </c>
      <c r="D44" s="403">
        <v>130</v>
      </c>
      <c r="E44" s="404">
        <f t="shared" si="1"/>
        <v>292</v>
      </c>
      <c r="F44" s="404">
        <v>261</v>
      </c>
      <c r="G44" s="405">
        <v>291</v>
      </c>
      <c r="H44" s="406" t="str">
        <f t="shared" si="13"/>
        <v>2,106 m2</v>
      </c>
      <c r="I44" s="407">
        <f t="shared" si="9"/>
        <v>0</v>
      </c>
      <c r="J44" s="391">
        <f t="shared" si="12"/>
        <v>0</v>
      </c>
      <c r="K44" s="391">
        <f t="shared" si="10"/>
        <v>0</v>
      </c>
      <c r="L44" s="408">
        <f t="shared" si="11"/>
        <v>0</v>
      </c>
      <c r="M44" s="394" t="b">
        <f t="shared" si="4"/>
        <v>0</v>
      </c>
      <c r="N44" s="409">
        <f t="shared" si="5"/>
        <v>0</v>
      </c>
      <c r="O44" s="410" t="b">
        <f t="shared" si="0"/>
        <v>0</v>
      </c>
      <c r="P44" s="411">
        <f t="shared" si="6"/>
        <v>0</v>
      </c>
      <c r="Q44" s="412">
        <f t="shared" si="7"/>
        <v>0</v>
      </c>
      <c r="R44" s="398">
        <f t="shared" si="8"/>
        <v>45</v>
      </c>
      <c r="S44" s="413">
        <v>0.6</v>
      </c>
      <c r="T44" s="637"/>
      <c r="U44" s="420">
        <v>205.18</v>
      </c>
    </row>
    <row r="45" spans="1:21" ht="19" customHeight="1" x14ac:dyDescent="0.2">
      <c r="A45" s="400">
        <v>120</v>
      </c>
      <c r="B45" s="401">
        <v>195</v>
      </c>
      <c r="C45" s="402" t="s">
        <v>280</v>
      </c>
      <c r="D45" s="403">
        <v>130</v>
      </c>
      <c r="E45" s="404">
        <f>B45+D45</f>
        <v>325</v>
      </c>
      <c r="F45" s="404">
        <v>292</v>
      </c>
      <c r="G45" s="405">
        <v>325</v>
      </c>
      <c r="H45" s="406" t="str">
        <f t="shared" si="13"/>
        <v>2,535 m2</v>
      </c>
      <c r="I45" s="407">
        <f t="shared" si="9"/>
        <v>0</v>
      </c>
      <c r="J45" s="391">
        <f t="shared" si="12"/>
        <v>0</v>
      </c>
      <c r="K45" s="391">
        <f t="shared" si="10"/>
        <v>0</v>
      </c>
      <c r="L45" s="408">
        <f t="shared" si="11"/>
        <v>0</v>
      </c>
      <c r="M45" s="394" t="b">
        <f t="shared" si="4"/>
        <v>0</v>
      </c>
      <c r="N45" s="409">
        <f t="shared" si="5"/>
        <v>0</v>
      </c>
      <c r="O45" s="410" t="b">
        <f t="shared" si="0"/>
        <v>0</v>
      </c>
      <c r="P45" s="411">
        <f>O45+M45</f>
        <v>0</v>
      </c>
      <c r="Q45" s="412">
        <f t="shared" si="7"/>
        <v>0</v>
      </c>
      <c r="R45" s="398">
        <f t="shared" si="8"/>
        <v>45</v>
      </c>
      <c r="S45" s="413">
        <v>0.5</v>
      </c>
      <c r="T45" s="637"/>
      <c r="U45" s="420">
        <v>246.93</v>
      </c>
    </row>
    <row r="46" spans="1:21" ht="19" customHeight="1" x14ac:dyDescent="0.2">
      <c r="A46" s="414">
        <v>150</v>
      </c>
      <c r="B46" s="401">
        <v>150</v>
      </c>
      <c r="C46" s="415" t="s">
        <v>238</v>
      </c>
      <c r="D46" s="403">
        <v>250</v>
      </c>
      <c r="E46" s="404">
        <f>B46+D46</f>
        <v>400</v>
      </c>
      <c r="F46" s="404">
        <v>326</v>
      </c>
      <c r="G46" s="405">
        <v>445</v>
      </c>
      <c r="H46" s="406" t="str">
        <f t="shared" si="13"/>
        <v>3,75 m2</v>
      </c>
      <c r="I46" s="407">
        <f t="shared" si="9"/>
        <v>0</v>
      </c>
      <c r="J46" s="391">
        <f t="shared" si="12"/>
        <v>0</v>
      </c>
      <c r="K46" s="391">
        <f t="shared" si="10"/>
        <v>0</v>
      </c>
      <c r="L46" s="408">
        <f t="shared" si="11"/>
        <v>0</v>
      </c>
      <c r="M46" s="394" t="b">
        <f t="shared" si="4"/>
        <v>0</v>
      </c>
      <c r="N46" s="409">
        <f t="shared" si="5"/>
        <v>0</v>
      </c>
      <c r="O46" s="410" t="b">
        <f t="shared" si="0"/>
        <v>0</v>
      </c>
      <c r="P46" s="411">
        <f>O46+M46</f>
        <v>0</v>
      </c>
      <c r="Q46" s="412">
        <f t="shared" si="7"/>
        <v>0</v>
      </c>
      <c r="R46" s="398">
        <f t="shared" si="8"/>
        <v>45</v>
      </c>
      <c r="S46" s="413">
        <v>0.5</v>
      </c>
      <c r="T46" s="637"/>
      <c r="U46" s="420">
        <v>274.32</v>
      </c>
    </row>
    <row r="48" spans="1:21" ht="16" x14ac:dyDescent="0.2">
      <c r="A48" s="255"/>
      <c r="B48" s="256"/>
      <c r="C48" s="256"/>
      <c r="D48" s="256"/>
      <c r="E48" s="61"/>
      <c r="F48" s="61"/>
      <c r="G48" s="61"/>
      <c r="H48" s="61"/>
      <c r="I48" s="62"/>
      <c r="J48" s="64"/>
      <c r="K48" s="64"/>
      <c r="L48" s="64"/>
      <c r="M48" s="64"/>
      <c r="N48" s="64"/>
      <c r="O48" s="64"/>
      <c r="P48" s="64"/>
      <c r="Q48" s="64"/>
      <c r="R48" s="63"/>
      <c r="S48" s="63"/>
    </row>
    <row r="49" spans="1:19" ht="16" x14ac:dyDescent="0.2">
      <c r="A49" s="65"/>
      <c r="B49" s="65"/>
      <c r="C49" s="65"/>
      <c r="D49" s="65"/>
      <c r="E49" s="65"/>
      <c r="F49" s="65"/>
      <c r="G49" s="65"/>
      <c r="H49" s="65"/>
      <c r="I49" s="66"/>
      <c r="J49" s="65"/>
      <c r="K49" s="65"/>
      <c r="L49" s="65"/>
      <c r="M49" s="65"/>
      <c r="N49" s="65"/>
      <c r="O49" s="65"/>
      <c r="P49" s="65"/>
      <c r="Q49" s="65"/>
      <c r="R49" s="65"/>
      <c r="S49" s="67"/>
    </row>
  </sheetData>
  <mergeCells count="39">
    <mergeCell ref="M8:N8"/>
    <mergeCell ref="N4:Q4"/>
    <mergeCell ref="T12:T46"/>
    <mergeCell ref="A5:A10"/>
    <mergeCell ref="R4:T4"/>
    <mergeCell ref="C5:K5"/>
    <mergeCell ref="C6:K6"/>
    <mergeCell ref="B7:B8"/>
    <mergeCell ref="C7:C8"/>
    <mergeCell ref="D7:D8"/>
    <mergeCell ref="E7:E8"/>
    <mergeCell ref="I4:L4"/>
    <mergeCell ref="J18:L18"/>
    <mergeCell ref="J19:L19"/>
    <mergeCell ref="E9:G9"/>
    <mergeCell ref="A24:I24"/>
    <mergeCell ref="B22:D22"/>
    <mergeCell ref="K25:L25"/>
    <mergeCell ref="A25:H25"/>
    <mergeCell ref="H15:S15"/>
    <mergeCell ref="R16:R24"/>
    <mergeCell ref="S16:S24"/>
    <mergeCell ref="M18:Q20"/>
    <mergeCell ref="I3:L3"/>
    <mergeCell ref="M3:O3"/>
    <mergeCell ref="A23:I23"/>
    <mergeCell ref="M12:O12"/>
    <mergeCell ref="M22:O23"/>
    <mergeCell ref="E14:G14"/>
    <mergeCell ref="D15:D16"/>
    <mergeCell ref="A20:G20"/>
    <mergeCell ref="J16:Q16"/>
    <mergeCell ref="A18:G18"/>
    <mergeCell ref="A19:G19"/>
    <mergeCell ref="B10:Q10"/>
    <mergeCell ref="J20:L20"/>
    <mergeCell ref="E22:H22"/>
    <mergeCell ref="K21:N21"/>
    <mergeCell ref="A15:C17"/>
  </mergeCells>
  <phoneticPr fontId="9" type="noConversion"/>
  <conditionalFormatting sqref="A26">
    <cfRule type="expression" priority="1" stopIfTrue="1">
      <formula>")"</formula>
    </cfRule>
  </conditionalFormatting>
  <conditionalFormatting sqref="S26:S46">
    <cfRule type="cellIs" dxfId="9" priority="2" stopIfTrue="1" operator="greaterThan">
      <formula>1</formula>
    </cfRule>
    <cfRule type="cellIs" dxfId="8" priority="3" stopIfTrue="1" operator="equal">
      <formula>1</formula>
    </cfRule>
    <cfRule type="cellIs" dxfId="7" priority="4" stopIfTrue="1" operator="lessThan">
      <formula>1</formula>
    </cfRule>
  </conditionalFormatting>
  <conditionalFormatting sqref="B5:B6 T5:T9">
    <cfRule type="cellIs" dxfId="6" priority="5" stopIfTrue="1" operator="equal">
      <formula>"x"</formula>
    </cfRule>
  </conditionalFormatting>
  <conditionalFormatting sqref="D9">
    <cfRule type="cellIs" dxfId="5" priority="6" stopIfTrue="1" operator="greaterThan">
      <formula>0</formula>
    </cfRule>
  </conditionalFormatting>
  <conditionalFormatting sqref="J26:Q46">
    <cfRule type="cellIs" dxfId="4" priority="7" stopIfTrue="1" operator="equal">
      <formula>0</formula>
    </cfRule>
    <cfRule type="cellIs" dxfId="3" priority="8" stopIfTrue="1" operator="greaterThan">
      <formula>0</formula>
    </cfRule>
  </conditionalFormatting>
  <conditionalFormatting sqref="N4:Q4">
    <cfRule type="cellIs" dxfId="2" priority="9" stopIfTrue="1" operator="equal">
      <formula>"LE MINIMUM DE FACTURATION EST APPLIQUÉ"</formula>
    </cfRule>
  </conditionalFormatting>
  <pageMargins left="1.3722222222222222" right="0.75000000000000011" top="0.58138888888888884" bottom="0.984251969" header="0.5" footer="0.5"/>
  <pageSetup paperSize="10" scale="35" orientation="landscape" horizontalDpi="4294967292" verticalDpi="4294967292"/>
  <headerFooter alignWithMargins="0"/>
  <ignoredErrors>
    <ignoredError sqref="Q48:Q49 J48:J49 K26:L31 I28:I31 K48:L49 O48:O49 N48:N49 P48:P49 M48:M49 I33:I46 R26:R46 S31:S46 S27 K33:L46 L32 I48:I49 R48:R49 S48:S49" emptyCellReference="1"/>
    <ignoredError sqref="N26:N46 P26:P46 Q26:Q46" unlockedFormula="1" emptyCellReference="1"/>
    <ignoredError sqref="H18:H20" unlockedFormula="1"/>
  </ignoredErrors>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45"/>
  <sheetViews>
    <sheetView showGridLines="0" topLeftCell="A8" zoomScale="125" zoomScaleNormal="125" workbookViewId="0">
      <selection activeCell="A25" sqref="A25:F25"/>
    </sheetView>
  </sheetViews>
  <sheetFormatPr baseColWidth="10" defaultRowHeight="12" x14ac:dyDescent="0.15"/>
  <cols>
    <col min="1" max="1" width="24.33203125" style="1" customWidth="1"/>
    <col min="2" max="2" width="23.6640625" style="1" customWidth="1"/>
    <col min="3" max="3" width="11.5" style="1" customWidth="1"/>
    <col min="4" max="4" width="6.83203125" style="1" customWidth="1"/>
    <col min="5" max="5" width="15.1640625" style="1" customWidth="1"/>
    <col min="6" max="6" width="13.33203125" style="1" customWidth="1"/>
    <col min="7" max="16384" width="10.83203125" style="1"/>
  </cols>
  <sheetData>
    <row r="1" spans="1:6" ht="22" customHeight="1" x14ac:dyDescent="0.2">
      <c r="A1" s="24" t="s">
        <v>19</v>
      </c>
    </row>
    <row r="2" spans="1:6" ht="18" x14ac:dyDescent="0.2">
      <c r="A2" s="24" t="s">
        <v>29</v>
      </c>
      <c r="C2" s="18" t="s">
        <v>141</v>
      </c>
      <c r="D2" s="18"/>
    </row>
    <row r="3" spans="1:6" ht="16" x14ac:dyDescent="0.2">
      <c r="A3" s="25" t="s">
        <v>136</v>
      </c>
      <c r="C3" s="19" t="s">
        <v>101</v>
      </c>
      <c r="D3" s="19"/>
    </row>
    <row r="4" spans="1:6" ht="13" x14ac:dyDescent="0.15">
      <c r="A4" s="19" t="s">
        <v>30</v>
      </c>
      <c r="B4" s="2"/>
      <c r="C4" s="19" t="s">
        <v>30</v>
      </c>
      <c r="D4" s="19"/>
    </row>
    <row r="5" spans="1:6" ht="14" x14ac:dyDescent="0.15">
      <c r="A5" s="17" t="s">
        <v>189</v>
      </c>
      <c r="C5" s="19" t="s">
        <v>145</v>
      </c>
      <c r="D5" s="19"/>
    </row>
    <row r="6" spans="1:6" ht="13" x14ac:dyDescent="0.15">
      <c r="A6" s="5" t="s">
        <v>147</v>
      </c>
      <c r="B6" s="2"/>
    </row>
    <row r="7" spans="1:6" ht="13" x14ac:dyDescent="0.2">
      <c r="A7" s="10" t="s">
        <v>187</v>
      </c>
      <c r="B7" s="1" t="s">
        <v>100</v>
      </c>
      <c r="C7" s="529" t="s">
        <v>20</v>
      </c>
      <c r="D7" s="529"/>
      <c r="E7" s="530"/>
      <c r="F7" s="530"/>
    </row>
    <row r="8" spans="1:6" ht="13" x14ac:dyDescent="0.2">
      <c r="A8" s="10" t="s">
        <v>188</v>
      </c>
      <c r="B8" s="1" t="s">
        <v>190</v>
      </c>
      <c r="C8" s="531"/>
      <c r="D8" s="532"/>
      <c r="E8" s="533"/>
      <c r="F8" s="534"/>
    </row>
    <row r="9" spans="1:6" x14ac:dyDescent="0.15">
      <c r="A9" s="10" t="s">
        <v>146</v>
      </c>
      <c r="B9" s="32" t="s">
        <v>21</v>
      </c>
      <c r="C9" s="34" t="s">
        <v>27</v>
      </c>
      <c r="D9" s="34"/>
      <c r="E9" s="34"/>
      <c r="F9" s="33"/>
    </row>
    <row r="10" spans="1:6" x14ac:dyDescent="0.15">
      <c r="A10" s="10" t="s">
        <v>22</v>
      </c>
      <c r="B10" s="32" t="s">
        <v>265</v>
      </c>
      <c r="C10" s="35"/>
      <c r="D10" s="35"/>
      <c r="E10" s="35"/>
      <c r="F10" s="35"/>
    </row>
    <row r="11" spans="1:6" x14ac:dyDescent="0.15">
      <c r="A11" s="5"/>
    </row>
    <row r="12" spans="1:6" ht="16" x14ac:dyDescent="0.2">
      <c r="A12" s="43" t="s">
        <v>231</v>
      </c>
      <c r="B12" s="8" t="s">
        <v>95</v>
      </c>
    </row>
    <row r="13" spans="1:6" x14ac:dyDescent="0.15">
      <c r="A13" s="9" t="s">
        <v>158</v>
      </c>
      <c r="B13" s="26">
        <f ca="1">TODAY()</f>
        <v>43238</v>
      </c>
      <c r="C13" s="3"/>
      <c r="D13" s="3"/>
      <c r="E13" s="3"/>
    </row>
    <row r="14" spans="1:6" s="12" customFormat="1" ht="17" customHeight="1" x14ac:dyDescent="0.2">
      <c r="B14" s="28"/>
      <c r="C14" s="28"/>
      <c r="D14" s="28"/>
      <c r="E14" s="28"/>
    </row>
    <row r="15" spans="1:6" s="44" customFormat="1" ht="20" customHeight="1" x14ac:dyDescent="0.2">
      <c r="A15" s="538" t="s">
        <v>161</v>
      </c>
      <c r="B15" s="539"/>
      <c r="C15" s="539"/>
      <c r="D15" s="539"/>
      <c r="E15" s="539"/>
      <c r="F15" s="539"/>
    </row>
    <row r="16" spans="1:6" s="44" customFormat="1" ht="20" customHeight="1" x14ac:dyDescent="0.2">
      <c r="A16" s="535" t="s">
        <v>237</v>
      </c>
      <c r="B16" s="535"/>
      <c r="C16" s="535"/>
      <c r="D16" s="535"/>
      <c r="E16" s="535"/>
      <c r="F16" s="535"/>
    </row>
    <row r="17" spans="1:6" s="12" customFormat="1" ht="24" customHeight="1" x14ac:dyDescent="0.2">
      <c r="A17" s="50" t="s">
        <v>270</v>
      </c>
      <c r="B17" s="236"/>
      <c r="C17" s="236"/>
      <c r="D17" s="236"/>
      <c r="E17" s="236"/>
      <c r="F17" s="236"/>
    </row>
    <row r="18" spans="1:6" ht="17" customHeight="1" x14ac:dyDescent="0.15">
      <c r="A18" s="239" t="s">
        <v>186</v>
      </c>
      <c r="B18" s="245">
        <f>'Tableaux de calcul'!D7</f>
        <v>20</v>
      </c>
      <c r="C18" s="234"/>
      <c r="D18" s="234"/>
      <c r="E18" s="30"/>
      <c r="F18" s="31"/>
    </row>
    <row r="19" spans="1:6" ht="17" customHeight="1" x14ac:dyDescent="0.15">
      <c r="A19" s="240" t="s">
        <v>150</v>
      </c>
      <c r="B19" s="235" t="s">
        <v>92</v>
      </c>
      <c r="C19" s="235"/>
      <c r="D19" s="235"/>
      <c r="E19" s="36"/>
      <c r="F19" s="36"/>
    </row>
    <row r="20" spans="1:6" ht="17" customHeight="1" x14ac:dyDescent="0.15">
      <c r="A20" s="241" t="s">
        <v>60</v>
      </c>
      <c r="B20" s="235" t="s">
        <v>135</v>
      </c>
      <c r="C20" s="235"/>
      <c r="D20" s="235"/>
      <c r="E20" s="36"/>
      <c r="F20" s="36"/>
    </row>
    <row r="21" spans="1:6" ht="21" customHeight="1" x14ac:dyDescent="0.15">
      <c r="A21" s="241" t="s">
        <v>179</v>
      </c>
      <c r="B21" s="81" t="str">
        <f>IF('Tableaux de calcul'!B5="x","à but non lucratif",IF('Tableaux de calcul'!B6="x","à but lucratif", "remplir la grille calcul"))</f>
        <v>à but non lucratif</v>
      </c>
      <c r="C21" s="238"/>
      <c r="D21" s="235"/>
      <c r="E21" s="36"/>
      <c r="F21" s="36"/>
    </row>
    <row r="22" spans="1:6" ht="21" customHeight="1" x14ac:dyDescent="0.15">
      <c r="A22" s="241" t="s">
        <v>40</v>
      </c>
      <c r="B22" s="254" t="str">
        <f>IF('Tableaux de calcul'!T6="x","de 1000 à 10 000",IF('Tableaux de calcul'!T7="x","de 10 000 à 25 000",IF('Tableaux de calcul'!T8="x","plus de 25 000","moins de1000")))</f>
        <v>moins de1000</v>
      </c>
      <c r="C22" s="235" t="s">
        <v>61</v>
      </c>
      <c r="D22" s="235"/>
      <c r="E22" s="36"/>
      <c r="F22" s="36"/>
    </row>
    <row r="23" spans="1:6" ht="16" customHeight="1" x14ac:dyDescent="0.15">
      <c r="A23" s="241" t="s">
        <v>269</v>
      </c>
      <c r="B23" s="237">
        <v>0</v>
      </c>
      <c r="C23" s="235" t="s">
        <v>185</v>
      </c>
      <c r="D23" s="48"/>
      <c r="E23" s="36"/>
      <c r="F23" s="36"/>
    </row>
    <row r="24" spans="1:6" ht="17" customHeight="1" x14ac:dyDescent="0.15">
      <c r="A24" s="242" t="s">
        <v>62</v>
      </c>
      <c r="B24" s="36"/>
      <c r="C24" s="36"/>
      <c r="D24" s="36"/>
      <c r="E24" s="36"/>
      <c r="F24" s="36"/>
    </row>
    <row r="25" spans="1:6" ht="49" customHeight="1" x14ac:dyDescent="0.2">
      <c r="A25" s="659"/>
      <c r="B25" s="660"/>
      <c r="C25" s="660"/>
      <c r="D25" s="660"/>
      <c r="E25" s="660"/>
      <c r="F25" s="660"/>
    </row>
    <row r="26" spans="1:6" ht="36" customHeight="1" x14ac:dyDescent="0.15">
      <c r="B26" s="243" t="s">
        <v>266</v>
      </c>
      <c r="C26" s="84">
        <f>'Tableaux de calcul'!M7</f>
        <v>0.5</v>
      </c>
      <c r="D26" s="244" t="s">
        <v>267</v>
      </c>
      <c r="E26" s="84"/>
      <c r="F26" s="80"/>
    </row>
    <row r="27" spans="1:6" ht="32" customHeight="1" x14ac:dyDescent="0.15">
      <c r="A27" s="11"/>
      <c r="B27" s="12"/>
      <c r="C27" s="23"/>
      <c r="D27" s="23"/>
      <c r="E27" s="22"/>
      <c r="F27" s="15"/>
    </row>
    <row r="28" spans="1:6" s="12" customFormat="1" ht="20" customHeight="1" x14ac:dyDescent="0.2">
      <c r="A28" s="27"/>
      <c r="B28" s="49"/>
      <c r="C28" s="49"/>
      <c r="D28" s="49"/>
      <c r="E28" s="50" t="s">
        <v>177</v>
      </c>
      <c r="F28" s="51">
        <f>'Tableaux de calcul'!P8+B23</f>
        <v>360</v>
      </c>
    </row>
    <row r="29" spans="1:6" ht="20" customHeight="1" x14ac:dyDescent="0.15">
      <c r="B29" s="49"/>
      <c r="C29" s="49"/>
      <c r="D29" s="49"/>
      <c r="E29" s="59" t="s">
        <v>82</v>
      </c>
      <c r="F29" s="51">
        <f>'Hebergement et km'!E40+'Hebergement et km'!E49</f>
        <v>0</v>
      </c>
    </row>
    <row r="30" spans="1:6" ht="19" customHeight="1" x14ac:dyDescent="0.15">
      <c r="A30" s="11"/>
      <c r="B30" s="49"/>
      <c r="C30" s="49"/>
      <c r="D30" s="49"/>
      <c r="E30" s="52" t="str">
        <f>IF(B10="franchise de TVA","TOTAL NET DE TVA","TOTAL HT")</f>
        <v>TOTAL HT</v>
      </c>
      <c r="F30" s="53">
        <f>SUM(F28:F29)</f>
        <v>360</v>
      </c>
    </row>
    <row r="31" spans="1:6" ht="19" customHeight="1" x14ac:dyDescent="0.15">
      <c r="A31" s="11"/>
      <c r="B31" s="49"/>
      <c r="C31" s="54" t="str">
        <f>IF(B10="franchise","","TVA Taux réduit  (1)")</f>
        <v/>
      </c>
      <c r="D31" s="54"/>
      <c r="E31" s="55" t="str">
        <f>IF(B10="franchise","",5.5%)</f>
        <v/>
      </c>
      <c r="F31" s="56">
        <f>IF(B10="franchise",0,IF(F9="export","exo export",IF(AND(F9="UE",C8&lt;&gt;0),"exo UE",F28*E31)))</f>
        <v>0</v>
      </c>
    </row>
    <row r="32" spans="1:6" ht="19" customHeight="1" x14ac:dyDescent="0.15">
      <c r="A32" s="11"/>
      <c r="B32" s="49"/>
      <c r="C32" s="54" t="str">
        <f>IF(B10="franchise","","TVA Taux plein (2)")</f>
        <v/>
      </c>
      <c r="D32" s="54"/>
      <c r="E32" s="55" t="str">
        <f>IF(B10="franchise","",20%)</f>
        <v/>
      </c>
      <c r="F32" s="56">
        <f>IF(B10="franchise",0,IF(F9="export","exo export",IF(AND(F9="UE",C8&lt;&gt;0),"exo UE",F29*E32)))</f>
        <v>0</v>
      </c>
    </row>
    <row r="33" spans="1:6" ht="19" customHeight="1" x14ac:dyDescent="0.15">
      <c r="B33" s="49"/>
      <c r="C33" s="57"/>
      <c r="D33" s="57"/>
      <c r="E33" s="52" t="str">
        <f>IF(B10="franchise","","TOTAL TTC")</f>
        <v/>
      </c>
      <c r="F33" s="58">
        <f>IF(B10="Franchise",0,IF(F9="export","exo export",IF(AND(F9="UE",C8&lt;&gt;0),"exo UE",(SUM(F30:F32)))))</f>
        <v>0</v>
      </c>
    </row>
    <row r="34" spans="1:6" ht="16" x14ac:dyDescent="0.2">
      <c r="A34" s="20"/>
      <c r="B34" s="38" t="str">
        <f>IF(B10="Franchise","TVA NON APPLICABLE, Art 293 b du CGI",IF(C8&lt;&gt;0,"Autoliquidation-Exonération art.283-2 du CGI",IF(F9="export","Exportation éxonérée de TVA","TVA acquittée sur les encaissements")))</f>
        <v>TVA NON APPLICABLE, Art 293 b du CGI</v>
      </c>
      <c r="C34" s="41"/>
      <c r="D34" s="41"/>
      <c r="E34" s="42"/>
      <c r="F34" s="40"/>
    </row>
    <row r="35" spans="1:6" ht="13" x14ac:dyDescent="0.2">
      <c r="A35" s="5"/>
      <c r="B35" s="39" t="s">
        <v>23</v>
      </c>
      <c r="C35"/>
      <c r="D35"/>
      <c r="E35"/>
      <c r="F35"/>
    </row>
    <row r="36" spans="1:6" s="6" customFormat="1" ht="16" customHeight="1" x14ac:dyDescent="0.15">
      <c r="A36" s="7"/>
    </row>
    <row r="37" spans="1:6" s="6" customFormat="1" ht="10" customHeight="1" x14ac:dyDescent="0.15">
      <c r="A37" s="7"/>
    </row>
    <row r="38" spans="1:6" s="6" customFormat="1" ht="10" customHeight="1" x14ac:dyDescent="0.15">
      <c r="A38" s="7"/>
    </row>
    <row r="39" spans="1:6" s="6" customFormat="1" ht="10" customHeight="1" x14ac:dyDescent="0.15">
      <c r="A39" s="7"/>
    </row>
    <row r="40" spans="1:6" s="6" customFormat="1" ht="10" customHeight="1" x14ac:dyDescent="0.15">
      <c r="A40" s="7"/>
    </row>
    <row r="41" spans="1:6" s="6" customFormat="1" ht="10" customHeight="1" x14ac:dyDescent="0.15"/>
    <row r="42" spans="1:6" s="6" customFormat="1" ht="10" customHeight="1" x14ac:dyDescent="0.15"/>
    <row r="43" spans="1:6" ht="8" customHeight="1" x14ac:dyDescent="0.15">
      <c r="A43" s="13"/>
      <c r="B43" s="12"/>
      <c r="C43" s="12"/>
      <c r="D43" s="12"/>
      <c r="E43" s="12"/>
      <c r="F43" s="12"/>
    </row>
    <row r="44" spans="1:6" s="12" customFormat="1" ht="12" customHeight="1" x14ac:dyDescent="0.2">
      <c r="A44" s="29"/>
      <c r="F44" s="14"/>
    </row>
    <row r="45" spans="1:6" ht="17" customHeight="1" x14ac:dyDescent="0.15"/>
  </sheetData>
  <mergeCells count="5">
    <mergeCell ref="A25:F25"/>
    <mergeCell ref="C7:F7"/>
    <mergeCell ref="C8:F8"/>
    <mergeCell ref="A15:F15"/>
    <mergeCell ref="A16:F16"/>
  </mergeCells>
  <phoneticPr fontId="9" type="noConversion"/>
  <conditionalFormatting sqref="F31:F33 F29">
    <cfRule type="cellIs" dxfId="1" priority="1" stopIfTrue="1" operator="equal">
      <formula>0</formula>
    </cfRule>
  </conditionalFormatting>
  <printOptions horizontalCentered="1" verticalCentered="1"/>
  <pageMargins left="0.39000000000000007" right="0.39000000000000007" top="0.4" bottom="0.51" header="0.32" footer="0.43999999999999995"/>
  <pageSetup paperSize="0" scale="94" orientation="portrait" horizontalDpi="4294967294" verticalDpi="4294967294"/>
  <headerFooter alignWithMargins="0"/>
  <ignoredErrors>
    <ignoredError sqref="B21:B22 B34 F31 F33:F34" emptyCellReference="1"/>
  </ignoredErrors>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2:U73"/>
  <sheetViews>
    <sheetView showGridLines="0" zoomScale="75" zoomScaleNormal="75" workbookViewId="0">
      <selection activeCell="I40" sqref="I40"/>
    </sheetView>
  </sheetViews>
  <sheetFormatPr baseColWidth="10" defaultRowHeight="14" x14ac:dyDescent="0.15"/>
  <cols>
    <col min="1" max="1" width="6" style="95" customWidth="1"/>
    <col min="2" max="2" width="30.1640625" style="95" customWidth="1"/>
    <col min="3" max="6" width="17.33203125" style="95" customWidth="1"/>
    <col min="7" max="9" width="16.83203125" style="95" customWidth="1"/>
    <col min="10" max="10" width="6.6640625" style="95" customWidth="1"/>
    <col min="11" max="11" width="9.33203125" style="95" customWidth="1"/>
    <col min="12" max="12" width="4.83203125" style="95" customWidth="1"/>
    <col min="13" max="14" width="10.83203125" style="95"/>
    <col min="15" max="15" width="11.6640625" style="95" customWidth="1"/>
    <col min="16" max="16" width="11.5" style="95" customWidth="1"/>
    <col min="17" max="17" width="12.83203125" style="95" customWidth="1"/>
    <col min="18" max="18" width="3" style="95" customWidth="1"/>
    <col min="19" max="19" width="10.83203125" style="95"/>
    <col min="20" max="20" width="6" style="95" customWidth="1"/>
    <col min="21" max="21" width="18" style="95" customWidth="1"/>
    <col min="22" max="16384" width="10.83203125" style="95"/>
  </cols>
  <sheetData>
    <row r="2" spans="1:21" ht="27" customHeight="1" x14ac:dyDescent="0.15">
      <c r="B2" s="96"/>
      <c r="C2" s="96"/>
      <c r="D2" s="96"/>
      <c r="E2" s="97" t="s">
        <v>252</v>
      </c>
      <c r="F2" s="98"/>
      <c r="G2" s="98"/>
      <c r="H2" s="98"/>
      <c r="I2" s="98"/>
      <c r="K2" s="666" t="s">
        <v>227</v>
      </c>
      <c r="L2" s="667"/>
      <c r="M2" s="667"/>
      <c r="N2" s="667"/>
      <c r="O2" s="667"/>
      <c r="P2" s="667"/>
      <c r="Q2" s="667"/>
      <c r="R2" s="667"/>
      <c r="S2" s="667"/>
      <c r="T2" s="667"/>
      <c r="U2" s="668"/>
    </row>
    <row r="3" spans="1:21" ht="25" customHeight="1" x14ac:dyDescent="0.15">
      <c r="A3" s="671" t="s">
        <v>54</v>
      </c>
      <c r="B3" s="99" t="s">
        <v>80</v>
      </c>
      <c r="C3" s="100" t="s">
        <v>140</v>
      </c>
      <c r="D3" s="674" t="s">
        <v>164</v>
      </c>
      <c r="E3" s="675"/>
      <c r="F3" s="675"/>
      <c r="G3" s="675"/>
      <c r="H3" s="675"/>
      <c r="I3" s="676"/>
      <c r="K3" s="669"/>
      <c r="L3" s="660"/>
      <c r="M3" s="660"/>
      <c r="N3" s="660"/>
      <c r="O3" s="660"/>
      <c r="P3" s="660"/>
      <c r="Q3" s="660"/>
      <c r="R3" s="660"/>
      <c r="S3" s="660"/>
      <c r="T3" s="660"/>
      <c r="U3" s="670"/>
    </row>
    <row r="4" spans="1:21" s="96" customFormat="1" ht="22" customHeight="1" x14ac:dyDescent="0.2">
      <c r="A4" s="672"/>
      <c r="B4" s="101"/>
      <c r="C4" s="102"/>
      <c r="D4" s="103" t="s">
        <v>165</v>
      </c>
      <c r="E4" s="103" t="s">
        <v>166</v>
      </c>
      <c r="F4" s="103" t="s">
        <v>167</v>
      </c>
      <c r="G4" s="103" t="s">
        <v>168</v>
      </c>
      <c r="H4" s="103" t="s">
        <v>169</v>
      </c>
      <c r="I4" s="103" t="s">
        <v>170</v>
      </c>
      <c r="K4" s="677" t="s">
        <v>171</v>
      </c>
      <c r="L4" s="678"/>
      <c r="M4" s="678"/>
      <c r="N4" s="678"/>
      <c r="O4" s="678"/>
      <c r="P4" s="680">
        <v>0</v>
      </c>
      <c r="Q4" s="681">
        <f>(E40+E49+C36)*imprevus</f>
        <v>0</v>
      </c>
      <c r="R4" s="682"/>
      <c r="S4" s="679"/>
      <c r="T4" s="679"/>
      <c r="U4" s="679"/>
    </row>
    <row r="5" spans="1:21" s="96" customFormat="1" ht="24" customHeight="1" x14ac:dyDescent="0.2">
      <c r="A5" s="672"/>
      <c r="B5" s="683" t="s">
        <v>172</v>
      </c>
      <c r="C5" s="684"/>
      <c r="D5" s="104"/>
      <c r="E5" s="104">
        <v>100</v>
      </c>
      <c r="F5" s="104">
        <v>10</v>
      </c>
      <c r="G5" s="104">
        <v>20</v>
      </c>
      <c r="H5" s="104">
        <v>25</v>
      </c>
      <c r="I5" s="105">
        <f>SUM(E5:H5)*D5</f>
        <v>0</v>
      </c>
      <c r="K5" s="679"/>
      <c r="L5" s="679"/>
      <c r="M5" s="679"/>
      <c r="N5" s="679"/>
      <c r="O5" s="679"/>
      <c r="P5" s="679"/>
      <c r="Q5" s="679"/>
      <c r="R5" s="679"/>
      <c r="S5" s="679"/>
      <c r="T5" s="679"/>
      <c r="U5" s="679"/>
    </row>
    <row r="6" spans="1:21" s="96" customFormat="1" ht="24" customHeight="1" x14ac:dyDescent="0.2">
      <c r="A6" s="672"/>
      <c r="B6" s="683" t="s">
        <v>191</v>
      </c>
      <c r="C6" s="684"/>
      <c r="D6" s="106"/>
      <c r="E6" s="106">
        <v>120</v>
      </c>
      <c r="F6" s="106">
        <v>10</v>
      </c>
      <c r="G6" s="106">
        <v>20</v>
      </c>
      <c r="H6" s="106">
        <v>25</v>
      </c>
      <c r="I6" s="107">
        <f>SUM(E6:H6)*D6</f>
        <v>0</v>
      </c>
    </row>
    <row r="7" spans="1:21" s="96" customFormat="1" ht="24" customHeight="1" x14ac:dyDescent="0.2">
      <c r="A7" s="672"/>
      <c r="B7" s="683" t="s">
        <v>110</v>
      </c>
      <c r="C7" s="685"/>
      <c r="D7" s="106"/>
      <c r="E7" s="106">
        <v>80</v>
      </c>
      <c r="F7" s="106">
        <v>6</v>
      </c>
      <c r="G7" s="106">
        <v>15</v>
      </c>
      <c r="H7" s="106">
        <v>20</v>
      </c>
      <c r="I7" s="107">
        <f>SUM(E7:H7)*D7</f>
        <v>0</v>
      </c>
      <c r="K7" s="686" t="s">
        <v>132</v>
      </c>
      <c r="L7" s="687"/>
      <c r="M7" s="687"/>
      <c r="N7" s="687"/>
      <c r="O7" s="687"/>
      <c r="P7" s="687"/>
      <c r="Q7" s="687"/>
      <c r="R7" s="687"/>
      <c r="S7" s="687"/>
      <c r="T7" s="687"/>
      <c r="U7" s="688"/>
    </row>
    <row r="8" spans="1:21" s="96" customFormat="1" ht="24" customHeight="1" x14ac:dyDescent="0.2">
      <c r="A8" s="672"/>
      <c r="B8" s="695" t="s">
        <v>235</v>
      </c>
      <c r="C8" s="696"/>
      <c r="D8" s="108"/>
      <c r="E8" s="108">
        <v>100</v>
      </c>
      <c r="F8" s="108">
        <v>6</v>
      </c>
      <c r="G8" s="108">
        <v>15</v>
      </c>
      <c r="H8" s="108">
        <v>20</v>
      </c>
      <c r="I8" s="109">
        <f>SUM(E8:H8)*D8</f>
        <v>0</v>
      </c>
      <c r="K8" s="689"/>
      <c r="L8" s="690"/>
      <c r="M8" s="690"/>
      <c r="N8" s="690"/>
      <c r="O8" s="690"/>
      <c r="P8" s="690"/>
      <c r="Q8" s="690"/>
      <c r="R8" s="690"/>
      <c r="S8" s="690"/>
      <c r="T8" s="690"/>
      <c r="U8" s="691"/>
    </row>
    <row r="9" spans="1:21" s="96" customFormat="1" ht="24" customHeight="1" x14ac:dyDescent="0.2">
      <c r="A9" s="673"/>
      <c r="B9" s="110"/>
      <c r="C9" s="111"/>
      <c r="D9" s="112">
        <f>SUM(D5:D8)</f>
        <v>0</v>
      </c>
      <c r="E9" s="113" t="s">
        <v>236</v>
      </c>
      <c r="F9" s="114" t="s">
        <v>32</v>
      </c>
      <c r="G9" s="115" t="str">
        <f>IF(I9=0,"",I9/D9)</f>
        <v/>
      </c>
      <c r="H9" s="116" t="s">
        <v>33</v>
      </c>
      <c r="I9" s="112">
        <f>SUM(I5:I8)</f>
        <v>0</v>
      </c>
      <c r="K9" s="692"/>
      <c r="L9" s="693"/>
      <c r="M9" s="693"/>
      <c r="N9" s="693"/>
      <c r="O9" s="693"/>
      <c r="P9" s="693"/>
      <c r="Q9" s="693"/>
      <c r="R9" s="693"/>
      <c r="S9" s="693"/>
      <c r="T9" s="693"/>
      <c r="U9" s="694"/>
    </row>
    <row r="10" spans="1:21" s="96" customFormat="1" ht="24" customHeight="1" x14ac:dyDescent="0.2"/>
    <row r="11" spans="1:21" s="96" customFormat="1" ht="31" customHeight="1" x14ac:dyDescent="0.2">
      <c r="B11" s="117"/>
      <c r="C11" s="118" t="s">
        <v>156</v>
      </c>
      <c r="D11" s="119">
        <f>D9</f>
        <v>0</v>
      </c>
      <c r="F11" s="120"/>
      <c r="G11" s="120"/>
    </row>
    <row r="12" spans="1:21" s="96" customFormat="1" ht="24" customHeight="1" x14ac:dyDescent="0.15">
      <c r="A12" s="95"/>
      <c r="B12" s="121" t="s">
        <v>204</v>
      </c>
      <c r="C12" s="95"/>
      <c r="D12" s="122"/>
      <c r="E12" s="123"/>
      <c r="F12" s="123"/>
      <c r="G12" s="123"/>
      <c r="H12" s="95"/>
      <c r="I12" s="95"/>
      <c r="K12" s="697" t="s">
        <v>243</v>
      </c>
      <c r="L12" s="698"/>
      <c r="M12" s="698"/>
      <c r="N12" s="698"/>
      <c r="O12" s="698"/>
      <c r="P12" s="698"/>
      <c r="Q12" s="698"/>
      <c r="R12" s="698"/>
      <c r="S12" s="698"/>
      <c r="T12" s="698"/>
      <c r="U12" s="699"/>
    </row>
    <row r="13" spans="1:21" s="96" customFormat="1" ht="24" customHeight="1" x14ac:dyDescent="0.2">
      <c r="K13" s="700"/>
      <c r="L13" s="701"/>
      <c r="M13" s="701"/>
      <c r="N13" s="701"/>
      <c r="O13" s="701"/>
      <c r="P13" s="701"/>
      <c r="Q13" s="701"/>
      <c r="R13" s="701"/>
      <c r="S13" s="701"/>
      <c r="T13" s="701"/>
      <c r="U13" s="702"/>
    </row>
    <row r="14" spans="1:21" s="96" customFormat="1" ht="39" customHeight="1" thickBot="1" x14ac:dyDescent="0.25">
      <c r="A14" s="671" t="s">
        <v>244</v>
      </c>
      <c r="B14" s="703" t="s">
        <v>123</v>
      </c>
      <c r="C14" s="124" t="s">
        <v>124</v>
      </c>
      <c r="D14" s="125" t="s">
        <v>120</v>
      </c>
      <c r="E14" s="125" t="s">
        <v>1</v>
      </c>
      <c r="F14" s="125" t="s">
        <v>2</v>
      </c>
      <c r="G14" s="125" t="s">
        <v>129</v>
      </c>
      <c r="H14" s="125" t="s">
        <v>130</v>
      </c>
      <c r="I14" s="125" t="s">
        <v>131</v>
      </c>
      <c r="K14" s="126"/>
      <c r="L14" s="706" t="s">
        <v>121</v>
      </c>
      <c r="M14" s="706"/>
      <c r="N14" s="706"/>
      <c r="O14" s="706"/>
      <c r="P14" s="706"/>
      <c r="Q14" s="706"/>
      <c r="R14" s="706"/>
      <c r="S14" s="706"/>
      <c r="T14" s="706"/>
      <c r="U14" s="707"/>
    </row>
    <row r="15" spans="1:21" s="96" customFormat="1" ht="24" customHeight="1" x14ac:dyDescent="0.2">
      <c r="A15" s="672"/>
      <c r="B15" s="704"/>
      <c r="C15" s="127"/>
      <c r="D15" s="127"/>
      <c r="E15" s="127"/>
      <c r="F15" s="127"/>
      <c r="G15" s="127"/>
      <c r="H15" s="127"/>
      <c r="I15" s="127"/>
      <c r="K15" s="128"/>
      <c r="L15" s="129"/>
      <c r="M15" s="130"/>
      <c r="N15" s="130"/>
      <c r="O15" s="130"/>
      <c r="P15" s="130"/>
      <c r="Q15" s="130"/>
      <c r="R15" s="130"/>
      <c r="S15" s="130"/>
      <c r="T15" s="708" t="s">
        <v>122</v>
      </c>
      <c r="U15" s="711" t="s">
        <v>53</v>
      </c>
    </row>
    <row r="16" spans="1:21" s="96" customFormat="1" ht="24" customHeight="1" x14ac:dyDescent="0.2">
      <c r="A16" s="672"/>
      <c r="B16" s="704"/>
      <c r="C16" s="131"/>
      <c r="D16" s="131"/>
      <c r="E16" s="131"/>
      <c r="F16" s="131"/>
      <c r="G16" s="131"/>
      <c r="H16" s="131"/>
      <c r="I16" s="131"/>
      <c r="K16" s="128"/>
      <c r="L16" s="129"/>
      <c r="M16" s="714" t="s">
        <v>112</v>
      </c>
      <c r="N16" s="715"/>
      <c r="O16" s="715"/>
      <c r="P16" s="715"/>
      <c r="Q16" s="716"/>
      <c r="R16" s="130"/>
      <c r="S16" s="130"/>
      <c r="T16" s="709"/>
      <c r="U16" s="712"/>
    </row>
    <row r="17" spans="1:21" s="96" customFormat="1" ht="24" customHeight="1" x14ac:dyDescent="0.2">
      <c r="A17" s="672"/>
      <c r="B17" s="704"/>
      <c r="C17" s="131"/>
      <c r="D17" s="131"/>
      <c r="E17" s="131"/>
      <c r="F17" s="131"/>
      <c r="G17" s="131"/>
      <c r="H17" s="131"/>
      <c r="I17" s="131"/>
      <c r="K17" s="128"/>
      <c r="L17" s="130"/>
      <c r="M17" s="717"/>
      <c r="N17" s="718"/>
      <c r="O17" s="718"/>
      <c r="P17" s="718"/>
      <c r="Q17" s="719"/>
      <c r="R17" s="130"/>
      <c r="S17" s="130"/>
      <c r="T17" s="709"/>
      <c r="U17" s="712"/>
    </row>
    <row r="18" spans="1:21" s="96" customFormat="1" ht="24" customHeight="1" x14ac:dyDescent="0.2">
      <c r="A18" s="672"/>
      <c r="B18" s="704"/>
      <c r="C18" s="131"/>
      <c r="D18" s="131"/>
      <c r="E18" s="131"/>
      <c r="F18" s="131"/>
      <c r="G18" s="131"/>
      <c r="H18" s="131"/>
      <c r="I18" s="131"/>
      <c r="K18" s="128"/>
      <c r="L18" s="130"/>
      <c r="M18" s="717"/>
      <c r="N18" s="718"/>
      <c r="O18" s="718"/>
      <c r="P18" s="718"/>
      <c r="Q18" s="719"/>
      <c r="R18" s="130"/>
      <c r="S18" s="130"/>
      <c r="T18" s="709"/>
      <c r="U18" s="712"/>
    </row>
    <row r="19" spans="1:21" s="96" customFormat="1" ht="24" customHeight="1" x14ac:dyDescent="0.2">
      <c r="A19" s="672"/>
      <c r="B19" s="704"/>
      <c r="C19" s="131"/>
      <c r="D19" s="131"/>
      <c r="E19" s="131"/>
      <c r="F19" s="131"/>
      <c r="G19" s="131"/>
      <c r="H19" s="131"/>
      <c r="I19" s="131"/>
      <c r="K19" s="128"/>
      <c r="L19" s="130"/>
      <c r="M19" s="717"/>
      <c r="N19" s="718"/>
      <c r="O19" s="718"/>
      <c r="P19" s="718"/>
      <c r="Q19" s="719"/>
      <c r="R19" s="130"/>
      <c r="S19" s="130"/>
      <c r="T19" s="709"/>
      <c r="U19" s="712"/>
    </row>
    <row r="20" spans="1:21" s="96" customFormat="1" ht="24" customHeight="1" x14ac:dyDescent="0.2">
      <c r="A20" s="672"/>
      <c r="B20" s="704"/>
      <c r="C20" s="131"/>
      <c r="D20" s="131"/>
      <c r="E20" s="131"/>
      <c r="F20" s="131"/>
      <c r="G20" s="131"/>
      <c r="H20" s="131"/>
      <c r="I20" s="131"/>
      <c r="K20" s="128"/>
      <c r="L20" s="130"/>
      <c r="M20" s="717"/>
      <c r="N20" s="718"/>
      <c r="O20" s="718"/>
      <c r="P20" s="718"/>
      <c r="Q20" s="719"/>
      <c r="R20" s="130"/>
      <c r="S20" s="130"/>
      <c r="T20" s="709"/>
      <c r="U20" s="712"/>
    </row>
    <row r="21" spans="1:21" ht="18" customHeight="1" thickBot="1" x14ac:dyDescent="0.2">
      <c r="A21" s="672"/>
      <c r="B21" s="705"/>
      <c r="C21" s="132"/>
      <c r="D21" s="132"/>
      <c r="E21" s="132"/>
      <c r="F21" s="132"/>
      <c r="G21" s="132"/>
      <c r="H21" s="132"/>
      <c r="I21" s="132"/>
      <c r="K21" s="133"/>
      <c r="L21" s="134"/>
      <c r="M21" s="717"/>
      <c r="N21" s="718"/>
      <c r="O21" s="718"/>
      <c r="P21" s="718"/>
      <c r="Q21" s="719"/>
      <c r="R21" s="134"/>
      <c r="S21" s="134"/>
      <c r="T21" s="709"/>
      <c r="U21" s="712"/>
    </row>
    <row r="22" spans="1:21" s="96" customFormat="1" ht="18" customHeight="1" thickTop="1" x14ac:dyDescent="0.2">
      <c r="A22" s="672"/>
      <c r="B22" s="135" t="s">
        <v>63</v>
      </c>
      <c r="C22" s="136">
        <f t="shared" ref="C22:I22" si="0">SUM(C15:C21)</f>
        <v>0</v>
      </c>
      <c r="D22" s="137">
        <f t="shared" si="0"/>
        <v>0</v>
      </c>
      <c r="E22" s="137">
        <f t="shared" si="0"/>
        <v>0</v>
      </c>
      <c r="F22" s="137">
        <f t="shared" si="0"/>
        <v>0</v>
      </c>
      <c r="G22" s="137">
        <f t="shared" si="0"/>
        <v>0</v>
      </c>
      <c r="H22" s="137">
        <f t="shared" si="0"/>
        <v>0</v>
      </c>
      <c r="I22" s="137">
        <f t="shared" si="0"/>
        <v>0</v>
      </c>
      <c r="K22" s="128"/>
      <c r="L22" s="130"/>
      <c r="M22" s="720"/>
      <c r="N22" s="721"/>
      <c r="O22" s="721"/>
      <c r="P22" s="721"/>
      <c r="Q22" s="722"/>
      <c r="R22" s="130"/>
      <c r="S22" s="130"/>
      <c r="T22" s="709"/>
      <c r="U22" s="712"/>
    </row>
    <row r="23" spans="1:21" ht="15" customHeight="1" thickBot="1" x14ac:dyDescent="0.2">
      <c r="A23" s="672"/>
      <c r="B23" s="723" t="s">
        <v>256</v>
      </c>
      <c r="C23" s="134"/>
      <c r="D23" s="134"/>
      <c r="E23" s="134"/>
      <c r="F23" s="134"/>
      <c r="G23" s="138"/>
      <c r="H23" s="138"/>
      <c r="I23" s="139"/>
      <c r="K23" s="133"/>
      <c r="L23" s="134"/>
      <c r="M23" s="134"/>
      <c r="N23" s="134"/>
      <c r="O23" s="134"/>
      <c r="P23" s="134"/>
      <c r="Q23" s="134"/>
      <c r="R23" s="134"/>
      <c r="S23" s="134"/>
      <c r="T23" s="709"/>
      <c r="U23" s="712"/>
    </row>
    <row r="24" spans="1:21" s="145" customFormat="1" ht="23" customHeight="1" thickBot="1" x14ac:dyDescent="0.3">
      <c r="A24" s="672"/>
      <c r="B24" s="724"/>
      <c r="C24" s="140" t="s">
        <v>257</v>
      </c>
      <c r="D24" s="141" t="s">
        <v>258</v>
      </c>
      <c r="E24" s="141" t="s">
        <v>0</v>
      </c>
      <c r="F24" s="142" t="s">
        <v>10</v>
      </c>
      <c r="G24" s="143"/>
      <c r="H24" s="143"/>
      <c r="I24" s="144"/>
      <c r="K24" s="146"/>
      <c r="L24" s="147"/>
      <c r="M24" s="147"/>
      <c r="N24" s="147"/>
      <c r="O24" s="148"/>
      <c r="P24" s="149" t="s">
        <v>113</v>
      </c>
      <c r="Q24" s="147"/>
      <c r="R24" s="147"/>
      <c r="S24" s="147"/>
      <c r="T24" s="709"/>
      <c r="U24" s="713"/>
    </row>
    <row r="25" spans="1:21" ht="17" customHeight="1" thickBot="1" x14ac:dyDescent="0.25">
      <c r="A25" s="672"/>
      <c r="B25" s="724"/>
      <c r="C25" s="127"/>
      <c r="D25" s="127"/>
      <c r="E25" s="127"/>
      <c r="F25" s="127"/>
      <c r="G25" s="143"/>
      <c r="H25" s="143"/>
      <c r="I25" s="144"/>
      <c r="K25" s="150"/>
      <c r="L25" s="134"/>
      <c r="M25" s="134"/>
      <c r="N25" s="134"/>
      <c r="O25" s="151" t="s">
        <v>114</v>
      </c>
      <c r="P25" s="152">
        <f>SUM(Q27:Q31)+SUM(Q37:Q39)+Q34</f>
        <v>0</v>
      </c>
      <c r="Q25" s="134"/>
      <c r="R25" s="134"/>
      <c r="S25" s="134"/>
      <c r="T25" s="710"/>
      <c r="U25" s="153">
        <f>SUM(U27:U31)+SUM(U37:U39)</f>
        <v>0</v>
      </c>
    </row>
    <row r="26" spans="1:21" ht="26" customHeight="1" thickTop="1" thickBot="1" x14ac:dyDescent="0.25">
      <c r="A26" s="672"/>
      <c r="B26" s="724"/>
      <c r="C26" s="131"/>
      <c r="D26" s="131"/>
      <c r="E26" s="131"/>
      <c r="F26" s="131"/>
      <c r="G26" s="143"/>
      <c r="H26" s="143"/>
      <c r="I26" s="144"/>
      <c r="K26" s="671" t="s">
        <v>118</v>
      </c>
      <c r="L26" s="154"/>
      <c r="M26" s="737" t="s">
        <v>272</v>
      </c>
      <c r="N26" s="155" t="s">
        <v>273</v>
      </c>
      <c r="O26" s="156" t="s">
        <v>182</v>
      </c>
      <c r="P26" s="740" t="s">
        <v>155</v>
      </c>
      <c r="Q26" s="741"/>
      <c r="R26" s="157"/>
      <c r="S26" s="726" t="s">
        <v>144</v>
      </c>
      <c r="T26" s="158">
        <v>2</v>
      </c>
      <c r="U26" s="159" t="s">
        <v>102</v>
      </c>
    </row>
    <row r="27" spans="1:21" ht="29" customHeight="1" x14ac:dyDescent="0.2">
      <c r="A27" s="672"/>
      <c r="B27" s="724"/>
      <c r="C27" s="131"/>
      <c r="D27" s="131"/>
      <c r="E27" s="131"/>
      <c r="F27" s="131"/>
      <c r="G27" s="143"/>
      <c r="H27" s="143"/>
      <c r="I27" s="144"/>
      <c r="K27" s="672"/>
      <c r="L27" s="134"/>
      <c r="M27" s="738"/>
      <c r="N27" s="160">
        <v>3</v>
      </c>
      <c r="O27" s="161">
        <v>0</v>
      </c>
      <c r="P27" s="162">
        <v>0.45100000000000001</v>
      </c>
      <c r="Q27" s="163">
        <f>IF(O27&lt;5001,O27*P27,0)</f>
        <v>0</v>
      </c>
      <c r="R27" s="164"/>
      <c r="S27" s="727"/>
      <c r="T27" s="164"/>
      <c r="U27" s="165">
        <f>Q27*$T$26</f>
        <v>0</v>
      </c>
    </row>
    <row r="28" spans="1:21" ht="21" customHeight="1" x14ac:dyDescent="0.2">
      <c r="A28" s="672"/>
      <c r="B28" s="724"/>
      <c r="C28" s="131"/>
      <c r="D28" s="131"/>
      <c r="E28" s="131"/>
      <c r="F28" s="131"/>
      <c r="G28" s="143"/>
      <c r="H28" s="143"/>
      <c r="I28" s="144"/>
      <c r="K28" s="672"/>
      <c r="L28" s="134"/>
      <c r="M28" s="739"/>
      <c r="N28" s="166">
        <v>4</v>
      </c>
      <c r="O28" s="167">
        <v>0</v>
      </c>
      <c r="P28" s="168">
        <v>0.51800000000000002</v>
      </c>
      <c r="Q28" s="169">
        <f>IF(O28&lt;5001,O28*P28,0)</f>
        <v>0</v>
      </c>
      <c r="R28" s="164"/>
      <c r="S28" s="727"/>
      <c r="T28" s="164"/>
      <c r="U28" s="170">
        <f>Q28*$T$26</f>
        <v>0</v>
      </c>
    </row>
    <row r="29" spans="1:21" ht="21" customHeight="1" x14ac:dyDescent="0.2">
      <c r="A29" s="672"/>
      <c r="B29" s="724"/>
      <c r="C29" s="131"/>
      <c r="D29" s="131"/>
      <c r="E29" s="131"/>
      <c r="F29" s="131"/>
      <c r="G29" s="143"/>
      <c r="H29" s="143"/>
      <c r="I29" s="144"/>
      <c r="K29" s="672"/>
      <c r="L29" s="134"/>
      <c r="M29" s="739"/>
      <c r="N29" s="166">
        <v>5</v>
      </c>
      <c r="O29" s="167">
        <v>0</v>
      </c>
      <c r="P29" s="168">
        <v>0.54300000000000004</v>
      </c>
      <c r="Q29" s="169">
        <f>IF(O29&lt;5001,O29*P29,0)</f>
        <v>0</v>
      </c>
      <c r="R29" s="164"/>
      <c r="S29" s="727"/>
      <c r="T29" s="164"/>
      <c r="U29" s="170">
        <f>Q29*$T$26</f>
        <v>0</v>
      </c>
    </row>
    <row r="30" spans="1:21" ht="21" customHeight="1" thickBot="1" x14ac:dyDescent="0.25">
      <c r="A30" s="672"/>
      <c r="B30" s="725"/>
      <c r="C30" s="132"/>
      <c r="D30" s="132"/>
      <c r="E30" s="132"/>
      <c r="F30" s="132"/>
      <c r="G30" s="143"/>
      <c r="H30" s="143"/>
      <c r="I30" s="144"/>
      <c r="K30" s="672"/>
      <c r="L30" s="134"/>
      <c r="M30" s="739"/>
      <c r="N30" s="166">
        <v>6</v>
      </c>
      <c r="O30" s="167">
        <v>0</v>
      </c>
      <c r="P30" s="168">
        <v>0.56799999999999995</v>
      </c>
      <c r="Q30" s="169">
        <f>IF(O30&lt;5001,O30*P30,0)</f>
        <v>0</v>
      </c>
      <c r="R30" s="164"/>
      <c r="S30" s="727"/>
      <c r="T30" s="164"/>
      <c r="U30" s="170">
        <f>Q30*$T$26</f>
        <v>0</v>
      </c>
    </row>
    <row r="31" spans="1:21" ht="21" customHeight="1" thickTop="1" thickBot="1" x14ac:dyDescent="0.25">
      <c r="A31" s="673"/>
      <c r="B31" s="171" t="s">
        <v>63</v>
      </c>
      <c r="C31" s="136">
        <f>SUM(C25:C30)</f>
        <v>0</v>
      </c>
      <c r="D31" s="137">
        <f>SUM(D25:D30)</f>
        <v>0</v>
      </c>
      <c r="E31" s="137">
        <f>SUM(E25:E30)</f>
        <v>0</v>
      </c>
      <c r="F31" s="137">
        <f>SUM(F25:F30)</f>
        <v>0</v>
      </c>
      <c r="G31" s="172"/>
      <c r="H31" s="172"/>
      <c r="I31" s="173"/>
      <c r="K31" s="672"/>
      <c r="L31" s="134"/>
      <c r="M31" s="747"/>
      <c r="N31" s="174" t="s">
        <v>103</v>
      </c>
      <c r="O31" s="175">
        <v>0</v>
      </c>
      <c r="P31" s="176">
        <v>0.59499999999999997</v>
      </c>
      <c r="Q31" s="177">
        <f>IF(O31&lt;5001,O31*P31,0)</f>
        <v>0</v>
      </c>
      <c r="R31" s="164"/>
      <c r="S31" s="727"/>
      <c r="T31" s="164"/>
      <c r="U31" s="178">
        <f>Q31*$T$26</f>
        <v>0</v>
      </c>
    </row>
    <row r="32" spans="1:21" ht="21" customHeight="1" x14ac:dyDescent="0.2">
      <c r="K32" s="672"/>
      <c r="L32" s="134"/>
      <c r="M32" s="179"/>
      <c r="N32" s="130"/>
      <c r="O32" s="130"/>
      <c r="P32" s="130"/>
      <c r="Q32" s="130"/>
      <c r="R32" s="164"/>
      <c r="S32" s="727"/>
      <c r="T32" s="164"/>
      <c r="U32" s="180"/>
    </row>
    <row r="33" spans="1:21" ht="28" customHeight="1" thickBot="1" x14ac:dyDescent="0.25">
      <c r="A33" s="671" t="s">
        <v>104</v>
      </c>
      <c r="B33" s="181" t="s">
        <v>105</v>
      </c>
      <c r="C33" s="138"/>
      <c r="D33" s="138"/>
      <c r="E33" s="138"/>
      <c r="F33" s="730" t="s">
        <v>184</v>
      </c>
      <c r="G33" s="731"/>
      <c r="H33" s="731"/>
      <c r="I33" s="732"/>
      <c r="K33" s="672"/>
      <c r="L33" s="134"/>
      <c r="M33" s="733" t="s">
        <v>106</v>
      </c>
      <c r="N33" s="734"/>
      <c r="O33" s="734"/>
      <c r="P33" s="734"/>
      <c r="Q33" s="735"/>
      <c r="R33" s="164"/>
      <c r="S33" s="727"/>
      <c r="T33" s="164"/>
      <c r="U33" s="180"/>
    </row>
    <row r="34" spans="1:21" s="96" customFormat="1" ht="45" customHeight="1" thickBot="1" x14ac:dyDescent="0.25">
      <c r="A34" s="728"/>
      <c r="B34" s="134"/>
      <c r="C34" s="182" t="s">
        <v>228</v>
      </c>
      <c r="D34" s="182" t="s">
        <v>229</v>
      </c>
      <c r="E34" s="183"/>
      <c r="F34" s="143"/>
      <c r="G34" s="143"/>
      <c r="H34" s="143"/>
      <c r="I34" s="144"/>
      <c r="J34" s="145"/>
      <c r="K34" s="672"/>
      <c r="L34" s="134"/>
      <c r="M34" s="736" t="s">
        <v>230</v>
      </c>
      <c r="N34" s="736"/>
      <c r="O34" s="184">
        <v>0</v>
      </c>
      <c r="P34" s="185">
        <v>0.26</v>
      </c>
      <c r="Q34" s="186">
        <f>O34*P34</f>
        <v>0</v>
      </c>
      <c r="R34" s="164"/>
      <c r="S34" s="727"/>
      <c r="T34" s="164"/>
      <c r="U34" s="180"/>
    </row>
    <row r="35" spans="1:21" ht="21" customHeight="1" thickBot="1" x14ac:dyDescent="0.25">
      <c r="A35" s="728"/>
      <c r="B35" s="187" t="s">
        <v>233</v>
      </c>
      <c r="C35" s="130"/>
      <c r="D35" s="130"/>
      <c r="E35" s="182" t="s">
        <v>234</v>
      </c>
      <c r="F35" s="188"/>
      <c r="G35" s="188"/>
      <c r="H35" s="188"/>
      <c r="I35" s="189"/>
      <c r="K35" s="672"/>
      <c r="L35" s="134"/>
      <c r="M35" s="190"/>
      <c r="N35" s="190"/>
      <c r="O35" s="151" t="s">
        <v>114</v>
      </c>
      <c r="P35" s="152"/>
      <c r="Q35" s="190"/>
      <c r="R35" s="164"/>
      <c r="S35" s="727"/>
      <c r="T35" s="164"/>
      <c r="U35" s="180"/>
    </row>
    <row r="36" spans="1:21" ht="21" customHeight="1" thickTop="1" thickBot="1" x14ac:dyDescent="0.25">
      <c r="A36" s="728"/>
      <c r="B36" s="191" t="s">
        <v>223</v>
      </c>
      <c r="C36" s="192">
        <v>0</v>
      </c>
      <c r="D36" s="193"/>
      <c r="E36" s="194"/>
      <c r="F36" s="188"/>
      <c r="G36" s="188"/>
      <c r="H36" s="188"/>
      <c r="I36" s="189"/>
      <c r="K36" s="672"/>
      <c r="L36" s="134"/>
      <c r="M36" s="737" t="s">
        <v>224</v>
      </c>
      <c r="N36" s="155" t="s">
        <v>273</v>
      </c>
      <c r="O36" s="156" t="s">
        <v>182</v>
      </c>
      <c r="P36" s="740" t="s">
        <v>271</v>
      </c>
      <c r="Q36" s="741"/>
      <c r="R36" s="164"/>
      <c r="S36" s="727"/>
      <c r="T36" s="164"/>
      <c r="U36" s="180"/>
    </row>
    <row r="37" spans="1:21" ht="21" customHeight="1" x14ac:dyDescent="0.2">
      <c r="A37" s="728"/>
      <c r="B37" s="195" t="s">
        <v>277</v>
      </c>
      <c r="C37" s="196"/>
      <c r="D37" s="197">
        <f>C22</f>
        <v>0</v>
      </c>
      <c r="E37" s="188"/>
      <c r="F37" s="188"/>
      <c r="G37" s="188"/>
      <c r="H37" s="188"/>
      <c r="I37" s="189"/>
      <c r="K37" s="672"/>
      <c r="L37" s="134"/>
      <c r="M37" s="738"/>
      <c r="N37" s="160" t="s">
        <v>255</v>
      </c>
      <c r="O37" s="161">
        <v>0</v>
      </c>
      <c r="P37" s="162">
        <v>0.33800000000000002</v>
      </c>
      <c r="Q37" s="163">
        <f>IF(O37&lt;3001,O37*P37,0)</f>
        <v>0</v>
      </c>
      <c r="R37" s="164"/>
      <c r="S37" s="727"/>
      <c r="T37" s="164"/>
      <c r="U37" s="198">
        <f>Q37*$T$26</f>
        <v>0</v>
      </c>
    </row>
    <row r="38" spans="1:21" ht="21" customHeight="1" x14ac:dyDescent="0.2">
      <c r="A38" s="728"/>
      <c r="B38" s="195" t="s">
        <v>162</v>
      </c>
      <c r="C38" s="196"/>
      <c r="D38" s="199">
        <f>D22</f>
        <v>0</v>
      </c>
      <c r="E38" s="188"/>
      <c r="F38" s="188"/>
      <c r="G38" s="200"/>
      <c r="H38" s="200"/>
      <c r="I38" s="189"/>
      <c r="K38" s="672"/>
      <c r="L38" s="134"/>
      <c r="M38" s="739"/>
      <c r="N38" s="166" t="s">
        <v>163</v>
      </c>
      <c r="O38" s="167">
        <v>0</v>
      </c>
      <c r="P38" s="168">
        <v>0.4</v>
      </c>
      <c r="Q38" s="169">
        <f>IF(O38&lt;3001,O38*P38,0)</f>
        <v>0</v>
      </c>
      <c r="R38" s="164"/>
      <c r="S38" s="727"/>
      <c r="T38" s="164"/>
      <c r="U38" s="201">
        <f>Q38*$T$26</f>
        <v>0</v>
      </c>
    </row>
    <row r="39" spans="1:21" ht="21" customHeight="1" thickBot="1" x14ac:dyDescent="0.25">
      <c r="A39" s="728"/>
      <c r="B39" s="195" t="s">
        <v>216</v>
      </c>
      <c r="C39" s="196"/>
      <c r="D39" s="202">
        <f>E22</f>
        <v>0</v>
      </c>
      <c r="E39" s="203"/>
      <c r="F39" s="200"/>
      <c r="G39" s="200"/>
      <c r="H39" s="200"/>
      <c r="I39" s="189"/>
      <c r="K39" s="672"/>
      <c r="L39" s="154"/>
      <c r="M39" s="739"/>
      <c r="N39" s="166" t="s">
        <v>148</v>
      </c>
      <c r="O39" s="167">
        <v>0</v>
      </c>
      <c r="P39" s="168">
        <v>0.51800000000000002</v>
      </c>
      <c r="Q39" s="169">
        <f>IF(O39&lt;3001,O39*P39,0)</f>
        <v>0</v>
      </c>
      <c r="R39" s="164"/>
      <c r="S39" s="727"/>
      <c r="T39" s="190"/>
      <c r="U39" s="204">
        <f>Q39*$T$26</f>
        <v>0</v>
      </c>
    </row>
    <row r="40" spans="1:21" ht="21" customHeight="1" thickTop="1" thickBot="1" x14ac:dyDescent="0.2">
      <c r="A40" s="728"/>
      <c r="B40" s="130"/>
      <c r="C40" s="130"/>
      <c r="D40" s="130"/>
      <c r="E40" s="205">
        <f>SUM(D36:D44)</f>
        <v>0</v>
      </c>
      <c r="F40" s="200"/>
      <c r="G40" s="748" t="s">
        <v>248</v>
      </c>
      <c r="H40" s="749"/>
      <c r="I40" s="189"/>
      <c r="K40" s="754" t="s">
        <v>173</v>
      </c>
      <c r="L40" s="755"/>
      <c r="M40" s="755"/>
      <c r="N40" s="755"/>
      <c r="O40" s="755"/>
      <c r="P40" s="755"/>
      <c r="Q40" s="755"/>
      <c r="R40" s="755"/>
      <c r="S40" s="755"/>
      <c r="T40" s="755"/>
      <c r="U40" s="756"/>
    </row>
    <row r="41" spans="1:21" ht="21" customHeight="1" x14ac:dyDescent="0.15">
      <c r="A41" s="728"/>
      <c r="B41" s="187" t="s">
        <v>174</v>
      </c>
      <c r="C41" s="128"/>
      <c r="D41" s="197">
        <f>F22</f>
        <v>0</v>
      </c>
      <c r="E41" s="128"/>
      <c r="F41" s="200"/>
      <c r="G41" s="750"/>
      <c r="H41" s="751"/>
      <c r="I41" s="189"/>
    </row>
    <row r="42" spans="1:21" ht="21" customHeight="1" x14ac:dyDescent="0.2">
      <c r="A42" s="728"/>
      <c r="B42" s="187" t="s">
        <v>175</v>
      </c>
      <c r="C42" s="128"/>
      <c r="D42" s="199">
        <f>G22</f>
        <v>0</v>
      </c>
      <c r="E42" s="128"/>
      <c r="F42" s="200"/>
      <c r="G42" s="750"/>
      <c r="H42" s="751"/>
      <c r="I42" s="189"/>
      <c r="J42" s="96"/>
      <c r="M42" s="745" t="s">
        <v>176</v>
      </c>
      <c r="N42" s="757"/>
      <c r="O42" s="757"/>
      <c r="P42" s="757"/>
      <c r="Q42" s="757"/>
      <c r="R42" s="758"/>
    </row>
    <row r="43" spans="1:21" ht="14" customHeight="1" x14ac:dyDescent="0.15">
      <c r="A43" s="728"/>
      <c r="B43" s="206" t="s">
        <v>261</v>
      </c>
      <c r="C43" s="128"/>
      <c r="D43" s="199">
        <f>H22</f>
        <v>0</v>
      </c>
      <c r="E43" s="128"/>
      <c r="F43" s="188"/>
      <c r="G43" s="750"/>
      <c r="H43" s="751"/>
      <c r="I43" s="189"/>
    </row>
    <row r="44" spans="1:21" ht="33" customHeight="1" x14ac:dyDescent="0.15">
      <c r="A44" s="728"/>
      <c r="B44" s="195" t="s">
        <v>262</v>
      </c>
      <c r="C44" s="128"/>
      <c r="D44" s="202">
        <f>I22</f>
        <v>0</v>
      </c>
      <c r="E44" s="128"/>
      <c r="F44" s="188"/>
      <c r="G44" s="750"/>
      <c r="H44" s="751"/>
      <c r="I44" s="189"/>
      <c r="M44" s="207"/>
      <c r="N44" s="208"/>
      <c r="O44" s="209"/>
      <c r="P44" s="210">
        <v>5.5E-2</v>
      </c>
      <c r="Q44" s="211">
        <f>O45*(1+P44)</f>
        <v>105.5</v>
      </c>
      <c r="R44" s="742" t="s">
        <v>263</v>
      </c>
    </row>
    <row r="45" spans="1:21" ht="22" customHeight="1" thickBot="1" x14ac:dyDescent="0.2">
      <c r="A45" s="728"/>
      <c r="B45" s="130"/>
      <c r="C45" s="212"/>
      <c r="D45" s="130"/>
      <c r="E45" s="188"/>
      <c r="F45" s="188"/>
      <c r="G45" s="752"/>
      <c r="H45" s="753"/>
      <c r="I45" s="189"/>
      <c r="M45" s="745" t="s">
        <v>193</v>
      </c>
      <c r="N45" s="746"/>
      <c r="O45" s="213">
        <v>100</v>
      </c>
      <c r="P45" s="210">
        <v>0.1</v>
      </c>
      <c r="Q45" s="211">
        <f>O45*(1+P45)</f>
        <v>110.00000000000001</v>
      </c>
      <c r="R45" s="743"/>
    </row>
    <row r="46" spans="1:21" ht="22" customHeight="1" thickBot="1" x14ac:dyDescent="0.2">
      <c r="A46" s="728"/>
      <c r="B46" s="130"/>
      <c r="C46" s="214" t="s">
        <v>259</v>
      </c>
      <c r="D46" s="215" t="s">
        <v>205</v>
      </c>
      <c r="E46" s="128"/>
      <c r="F46" s="188"/>
      <c r="G46" s="188"/>
      <c r="H46" s="188"/>
      <c r="I46" s="189"/>
      <c r="M46" s="216"/>
      <c r="N46" s="217"/>
      <c r="O46" s="209"/>
      <c r="P46" s="210">
        <v>0.2</v>
      </c>
      <c r="Q46" s="211">
        <f>O45*(1+P46)</f>
        <v>120</v>
      </c>
      <c r="R46" s="744"/>
    </row>
    <row r="47" spans="1:21" ht="22" customHeight="1" thickBot="1" x14ac:dyDescent="0.2">
      <c r="A47" s="728"/>
      <c r="B47" s="187" t="s">
        <v>206</v>
      </c>
      <c r="C47" s="218">
        <f>I9</f>
        <v>0</v>
      </c>
      <c r="D47" s="219"/>
      <c r="E47" s="182" t="s">
        <v>245</v>
      </c>
      <c r="F47" s="188"/>
      <c r="G47" s="188"/>
      <c r="H47" s="188"/>
      <c r="I47" s="189"/>
      <c r="M47" s="220"/>
      <c r="N47" s="220"/>
      <c r="O47" s="221"/>
      <c r="P47" s="222"/>
      <c r="Q47" s="221"/>
    </row>
    <row r="48" spans="1:21" ht="22" customHeight="1" thickBot="1" x14ac:dyDescent="0.25">
      <c r="A48" s="728"/>
      <c r="B48" s="206" t="s">
        <v>246</v>
      </c>
      <c r="C48" s="223"/>
      <c r="D48" s="197">
        <f>C31</f>
        <v>0</v>
      </c>
      <c r="E48" s="224"/>
      <c r="F48" s="188"/>
      <c r="G48" s="188"/>
      <c r="H48" s="188"/>
      <c r="I48" s="189"/>
      <c r="J48" s="225"/>
      <c r="M48" s="216"/>
      <c r="N48" s="217"/>
      <c r="O48" s="209"/>
      <c r="P48" s="210">
        <v>5.5E-2</v>
      </c>
      <c r="Q48" s="211">
        <f>O49/(1+P48)</f>
        <v>94.786729857819907</v>
      </c>
      <c r="R48" s="742" t="s">
        <v>247</v>
      </c>
    </row>
    <row r="49" spans="1:18" ht="22" customHeight="1" thickTop="1" thickBot="1" x14ac:dyDescent="0.2">
      <c r="A49" s="728"/>
      <c r="B49" s="195" t="s">
        <v>278</v>
      </c>
      <c r="C49" s="223"/>
      <c r="D49" s="226">
        <f>D31</f>
        <v>0</v>
      </c>
      <c r="E49" s="205">
        <f>SUM(D47:D51)+C47</f>
        <v>0</v>
      </c>
      <c r="F49" s="188"/>
      <c r="G49" s="188"/>
      <c r="H49" s="188"/>
      <c r="I49" s="189"/>
      <c r="M49" s="745" t="s">
        <v>279</v>
      </c>
      <c r="N49" s="746"/>
      <c r="O49" s="213">
        <v>100</v>
      </c>
      <c r="P49" s="210">
        <v>0.1</v>
      </c>
      <c r="Q49" s="211">
        <f>O49/(1+P49)</f>
        <v>90.909090909090907</v>
      </c>
      <c r="R49" s="743"/>
    </row>
    <row r="50" spans="1:18" ht="22" customHeight="1" x14ac:dyDescent="0.15">
      <c r="A50" s="728"/>
      <c r="B50" s="227" t="s">
        <v>160</v>
      </c>
      <c r="C50" s="223"/>
      <c r="D50" s="199">
        <f>E31</f>
        <v>0</v>
      </c>
      <c r="E50" s="188"/>
      <c r="F50" s="188"/>
      <c r="G50" s="188"/>
      <c r="H50" s="188"/>
      <c r="I50" s="189"/>
      <c r="M50" s="207"/>
      <c r="N50" s="208"/>
      <c r="O50" s="209"/>
      <c r="P50" s="210">
        <v>0.2</v>
      </c>
      <c r="Q50" s="211">
        <f>O49/(1+P50)</f>
        <v>83.333333333333343</v>
      </c>
      <c r="R50" s="744"/>
    </row>
    <row r="51" spans="1:18" ht="22" customHeight="1" x14ac:dyDescent="0.2">
      <c r="A51" s="729"/>
      <c r="B51" s="228" t="s">
        <v>10</v>
      </c>
      <c r="C51" s="229"/>
      <c r="D51" s="202">
        <f>F31</f>
        <v>0</v>
      </c>
      <c r="E51" s="230"/>
      <c r="F51" s="231"/>
      <c r="G51" s="230"/>
      <c r="H51" s="230"/>
      <c r="I51" s="232"/>
      <c r="M51" s="225"/>
      <c r="N51" s="225"/>
      <c r="O51" s="225"/>
      <c r="P51" s="225"/>
      <c r="Q51" s="225"/>
    </row>
    <row r="52" spans="1:18" ht="19" customHeight="1" x14ac:dyDescent="0.15"/>
    <row r="53" spans="1:18" ht="22" customHeight="1" x14ac:dyDescent="0.15"/>
    <row r="54" spans="1:18" ht="29" customHeight="1" x14ac:dyDescent="0.15"/>
    <row r="55" spans="1:18" ht="21" customHeight="1" x14ac:dyDescent="0.15"/>
    <row r="56" spans="1:18" ht="21" customHeight="1" x14ac:dyDescent="0.15"/>
    <row r="57" spans="1:18" ht="21" customHeight="1" x14ac:dyDescent="0.15"/>
    <row r="58" spans="1:18" ht="21" customHeight="1" x14ac:dyDescent="0.15"/>
    <row r="59" spans="1:18" ht="21" customHeight="1" x14ac:dyDescent="0.15"/>
    <row r="60" spans="1:18" ht="13" customHeight="1" x14ac:dyDescent="0.15"/>
    <row r="61" spans="1:18" ht="21" customHeight="1" x14ac:dyDescent="0.15"/>
    <row r="62" spans="1:18" ht="21" customHeight="1" x14ac:dyDescent="0.15"/>
    <row r="63" spans="1:18" ht="21" customHeight="1" x14ac:dyDescent="0.15"/>
    <row r="64" spans="1:18" ht="26" customHeight="1" x14ac:dyDescent="0.15"/>
    <row r="65" spans="6:6" ht="21" customHeight="1" x14ac:dyDescent="0.15"/>
    <row r="66" spans="6:6" ht="21" customHeight="1" x14ac:dyDescent="0.15"/>
    <row r="67" spans="6:6" ht="21" customHeight="1" x14ac:dyDescent="0.15"/>
    <row r="73" spans="6:6" x14ac:dyDescent="0.15">
      <c r="F73" s="233"/>
    </row>
  </sheetData>
  <mergeCells count="37">
    <mergeCell ref="M49:N49"/>
    <mergeCell ref="K26:K39"/>
    <mergeCell ref="M26:M31"/>
    <mergeCell ref="P26:Q26"/>
    <mergeCell ref="G40:H45"/>
    <mergeCell ref="K40:U40"/>
    <mergeCell ref="M42:R42"/>
    <mergeCell ref="R44:R46"/>
    <mergeCell ref="M45:N45"/>
    <mergeCell ref="K12:U13"/>
    <mergeCell ref="A14:A31"/>
    <mergeCell ref="B14:B21"/>
    <mergeCell ref="L14:U14"/>
    <mergeCell ref="T15:T25"/>
    <mergeCell ref="U15:U24"/>
    <mergeCell ref="M16:Q22"/>
    <mergeCell ref="B23:B30"/>
    <mergeCell ref="S26:S39"/>
    <mergeCell ref="A33:A51"/>
    <mergeCell ref="F33:I33"/>
    <mergeCell ref="M33:Q33"/>
    <mergeCell ref="M34:N34"/>
    <mergeCell ref="M36:M39"/>
    <mergeCell ref="P36:Q36"/>
    <mergeCell ref="R48:R50"/>
    <mergeCell ref="K2:U3"/>
    <mergeCell ref="A3:A9"/>
    <mergeCell ref="D3:I3"/>
    <mergeCell ref="K4:O5"/>
    <mergeCell ref="P4:P5"/>
    <mergeCell ref="Q4:Q5"/>
    <mergeCell ref="R4:U5"/>
    <mergeCell ref="B5:C5"/>
    <mergeCell ref="B6:C6"/>
    <mergeCell ref="B7:C7"/>
    <mergeCell ref="K7:U9"/>
    <mergeCell ref="B8:C8"/>
  </mergeCells>
  <phoneticPr fontId="9" type="noConversion"/>
  <conditionalFormatting sqref="O27:O31 O34 O37:O39 C15:I21 C25:F30 D5:D8 P4">
    <cfRule type="cellIs" dxfId="0" priority="1" stopIfTrue="1" operator="greaterThan">
      <formula>0</formula>
    </cfRule>
  </conditionalFormatting>
  <printOptions horizontalCentered="1" verticalCentered="1"/>
  <pageMargins left="1.1387037037037038" right="0.70000000000000007" top="0.75000000000000011" bottom="0.75000000000000011" header="0.51" footer="0.51"/>
  <pageSetup paperSize="10" scale="41" orientation="landscape" horizontalDpi="4294967292" verticalDpi="4294967292"/>
  <headerFooter alignWithMargins="0">
    <oddFooter xml:space="preserve">&amp;C ©/2017/2019 eric delamarre - Document GPLA </oddFooter>
  </headerFooter>
  <drawing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8</vt:i4>
      </vt:variant>
      <vt:variant>
        <vt:lpstr>Plages nommées</vt:lpstr>
      </vt:variant>
      <vt:variant>
        <vt:i4>1</vt:i4>
      </vt:variant>
    </vt:vector>
  </HeadingPairs>
  <TitlesOfParts>
    <vt:vector size="9" baseType="lpstr">
      <vt:lpstr>A LIRE</vt:lpstr>
      <vt:lpstr>EVALUER VOS OEUVRES</vt:lpstr>
      <vt:lpstr>Vente d'oeuvre</vt:lpstr>
      <vt:lpstr>Certificat d'authenticité</vt:lpstr>
      <vt:lpstr>EVALUER VOS DROITS EXPO</vt:lpstr>
      <vt:lpstr>Tableaux de calcul</vt:lpstr>
      <vt:lpstr>Cession droit representation</vt:lpstr>
      <vt:lpstr>Hebergement et km</vt:lpstr>
      <vt:lpstr>imprevus</vt:lpstr>
    </vt:vector>
  </TitlesOfParts>
  <Company>perso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Eric delamarre</dc:creator>
  <cp:lastModifiedBy>Microsoft Office User</cp:lastModifiedBy>
  <cp:lastPrinted>2005-09-20T14:21:52Z</cp:lastPrinted>
  <dcterms:created xsi:type="dcterms:W3CDTF">2001-10-06T12:51:05Z</dcterms:created>
  <dcterms:modified xsi:type="dcterms:W3CDTF">2022-05-19T10:23:42Z</dcterms:modified>
</cp:coreProperties>
</file>