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9720" windowHeight="6990" tabRatio="489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definedNames>
    <definedName name="_xlnm.Print_Area" localSheetId="0">Feuil1!$C$57:$R$94</definedName>
  </definedNames>
  <calcPr calcId="125725"/>
</workbook>
</file>

<file path=xl/calcChain.xml><?xml version="1.0" encoding="utf-8"?>
<calcChain xmlns="http://schemas.openxmlformats.org/spreadsheetml/2006/main">
  <c r="L67" i="1"/>
  <c r="K67"/>
  <c r="J67"/>
  <c r="I67"/>
  <c r="H67"/>
  <c r="G67"/>
  <c r="F67"/>
  <c r="E67"/>
  <c r="D67"/>
  <c r="R91"/>
  <c r="E33"/>
  <c r="E34" s="1"/>
  <c r="E13"/>
  <c r="E16" s="1"/>
  <c r="E21" s="1"/>
  <c r="E22" s="1"/>
  <c r="R63"/>
  <c r="R74" s="1"/>
  <c r="Q63"/>
  <c r="Q74" s="1"/>
  <c r="P63"/>
  <c r="P74" s="1"/>
  <c r="O63"/>
  <c r="O74" s="1"/>
  <c r="N63"/>
  <c r="N74" s="1"/>
  <c r="M63"/>
  <c r="M74"/>
  <c r="L63"/>
  <c r="L74" s="1"/>
  <c r="K63"/>
  <c r="K74" s="1"/>
  <c r="J63"/>
  <c r="J74" s="1"/>
  <c r="I63"/>
  <c r="I74" s="1"/>
  <c r="H63"/>
  <c r="H74" s="1"/>
  <c r="G63"/>
  <c r="G74" s="1"/>
  <c r="F63"/>
  <c r="F74" s="1"/>
  <c r="E63"/>
  <c r="E74"/>
  <c r="D63"/>
  <c r="D74" s="1"/>
  <c r="E38"/>
  <c r="D85"/>
  <c r="E84"/>
  <c r="F84" s="1"/>
  <c r="G84" s="1"/>
  <c r="H84" s="1"/>
  <c r="I84" s="1"/>
  <c r="J84" s="1"/>
  <c r="K84" s="1"/>
  <c r="L84" s="1"/>
  <c r="M84" s="1"/>
  <c r="N84" s="1"/>
  <c r="O84" s="1"/>
  <c r="P84" s="1"/>
  <c r="Q84" s="1"/>
  <c r="R84" s="1"/>
  <c r="E59"/>
  <c r="F59" s="1"/>
  <c r="G59" s="1"/>
  <c r="H59" s="1"/>
  <c r="I59" s="1"/>
  <c r="J59" s="1"/>
  <c r="K59" s="1"/>
  <c r="L59" s="1"/>
  <c r="M59" s="1"/>
  <c r="N59" s="1"/>
  <c r="O59" s="1"/>
  <c r="P59" s="1"/>
  <c r="Q59" s="1"/>
  <c r="R59" s="1"/>
  <c r="E46"/>
  <c r="F46" s="1"/>
  <c r="G46" s="1"/>
  <c r="H46" s="1"/>
  <c r="I46" s="1"/>
  <c r="J46" s="1"/>
  <c r="K46" s="1"/>
  <c r="L46" s="1"/>
  <c r="M46" s="1"/>
  <c r="N46" s="1"/>
  <c r="O46" s="1"/>
  <c r="P46" s="1"/>
  <c r="Q46" s="1"/>
  <c r="R46" s="1"/>
  <c r="S78"/>
  <c r="D62" l="1"/>
  <c r="E35"/>
  <c r="E62" l="1"/>
  <c r="D73"/>
  <c r="F62" l="1"/>
  <c r="E73"/>
  <c r="G62" l="1"/>
  <c r="F73"/>
  <c r="H62" l="1"/>
  <c r="G73"/>
  <c r="I62" l="1"/>
  <c r="H73"/>
  <c r="J62" l="1"/>
  <c r="I73"/>
  <c r="K62" l="1"/>
  <c r="J73"/>
  <c r="L62" l="1"/>
  <c r="K73"/>
  <c r="M62" l="1"/>
  <c r="L73"/>
  <c r="N62" l="1"/>
  <c r="M73"/>
  <c r="O62" l="1"/>
  <c r="N73"/>
  <c r="P62" l="1"/>
  <c r="O73"/>
  <c r="Q62" l="1"/>
  <c r="P73"/>
  <c r="R62" l="1"/>
  <c r="Q73"/>
  <c r="R73" l="1"/>
  <c r="R64" l="1"/>
  <c r="N64"/>
  <c r="P64"/>
  <c r="H64"/>
  <c r="O64"/>
  <c r="K64"/>
  <c r="G64"/>
  <c r="J64"/>
  <c r="F64"/>
  <c r="L64"/>
  <c r="D64"/>
  <c r="M64"/>
  <c r="I64"/>
  <c r="E64"/>
  <c r="Q64"/>
  <c r="E49" l="1"/>
  <c r="E66"/>
  <c r="M49"/>
  <c r="M66"/>
  <c r="L49"/>
  <c r="L66"/>
  <c r="J49"/>
  <c r="J66"/>
  <c r="K49"/>
  <c r="K66"/>
  <c r="H49"/>
  <c r="H66"/>
  <c r="N49"/>
  <c r="N66"/>
  <c r="Q49"/>
  <c r="Q66"/>
  <c r="I49"/>
  <c r="I66"/>
  <c r="D49"/>
  <c r="D66"/>
  <c r="F49"/>
  <c r="F66"/>
  <c r="G49"/>
  <c r="G66"/>
  <c r="O49"/>
  <c r="O66"/>
  <c r="P49"/>
  <c r="P66"/>
  <c r="R49"/>
  <c r="R66"/>
  <c r="D47" l="1"/>
  <c r="D48" s="1"/>
  <c r="D79"/>
  <c r="D68" s="1"/>
  <c r="D69" s="1"/>
  <c r="D86" s="1"/>
  <c r="D92" s="1"/>
  <c r="E47" l="1"/>
  <c r="E48" s="1"/>
  <c r="E79"/>
  <c r="E68" s="1"/>
  <c r="E69" s="1"/>
  <c r="E86" s="1"/>
  <c r="E92" s="1"/>
  <c r="F47" l="1"/>
  <c r="F48" s="1"/>
  <c r="F79"/>
  <c r="F68" s="1"/>
  <c r="F69" s="1"/>
  <c r="F86" s="1"/>
  <c r="F92" s="1"/>
  <c r="G47" l="1"/>
  <c r="G48" s="1"/>
  <c r="G79"/>
  <c r="G68" s="1"/>
  <c r="G69" s="1"/>
  <c r="G86" s="1"/>
  <c r="G92" s="1"/>
  <c r="H47" l="1"/>
  <c r="H48" s="1"/>
  <c r="H79"/>
  <c r="H68" s="1"/>
  <c r="H69" s="1"/>
  <c r="H86" s="1"/>
  <c r="H92" s="1"/>
  <c r="I47" l="1"/>
  <c r="I48" s="1"/>
  <c r="I79"/>
  <c r="I68" s="1"/>
  <c r="I69" s="1"/>
  <c r="I86" s="1"/>
  <c r="I92" s="1"/>
  <c r="J47" l="1"/>
  <c r="J48" s="1"/>
  <c r="J79"/>
  <c r="J68" s="1"/>
  <c r="J69" s="1"/>
  <c r="J86" s="1"/>
  <c r="J92" s="1"/>
  <c r="K47" l="1"/>
  <c r="K48" s="1"/>
  <c r="K79"/>
  <c r="K68" s="1"/>
  <c r="K69" s="1"/>
  <c r="K86" s="1"/>
  <c r="K92" s="1"/>
  <c r="L47" l="1"/>
  <c r="L48" s="1"/>
  <c r="L79"/>
  <c r="L68" s="1"/>
  <c r="L69" s="1"/>
  <c r="L86" s="1"/>
  <c r="L92" s="1"/>
  <c r="M47" l="1"/>
  <c r="M48" s="1"/>
  <c r="M79"/>
  <c r="M68" s="1"/>
  <c r="M69" s="1"/>
  <c r="M86" s="1"/>
  <c r="M92" s="1"/>
  <c r="N47" l="1"/>
  <c r="N48" s="1"/>
  <c r="N79"/>
  <c r="N68" s="1"/>
  <c r="N69" s="1"/>
  <c r="N86" s="1"/>
  <c r="N92" s="1"/>
  <c r="O47" l="1"/>
  <c r="O48" s="1"/>
  <c r="O79"/>
  <c r="O68" s="1"/>
  <c r="O69" s="1"/>
  <c r="O86" s="1"/>
  <c r="O92" s="1"/>
  <c r="P47" l="1"/>
  <c r="P48" s="1"/>
  <c r="P79"/>
  <c r="P68" s="1"/>
  <c r="P69" s="1"/>
  <c r="P86" s="1"/>
  <c r="P92" s="1"/>
  <c r="Q47" l="1"/>
  <c r="Q48" s="1"/>
  <c r="Q79"/>
  <c r="Q68" s="1"/>
  <c r="Q69" s="1"/>
  <c r="Q86" s="1"/>
  <c r="Q92" s="1"/>
  <c r="R79" l="1"/>
  <c r="R68" s="1"/>
  <c r="R69" s="1"/>
  <c r="R86" s="1"/>
  <c r="R92" s="1"/>
  <c r="D94" s="1"/>
  <c r="R47"/>
  <c r="R48" s="1"/>
  <c r="S75"/>
</calcChain>
</file>

<file path=xl/sharedStrings.xml><?xml version="1.0" encoding="utf-8"?>
<sst xmlns="http://schemas.openxmlformats.org/spreadsheetml/2006/main" count="55" uniqueCount="53">
  <si>
    <t>La SCI achète :</t>
  </si>
  <si>
    <t>Soit un budget total de</t>
  </si>
  <si>
    <t>La SCI contracte un emprunt pour le solde</t>
  </si>
  <si>
    <t>Soit un financement total de</t>
  </si>
  <si>
    <t xml:space="preserve">Caractéristiques de l'emprunt </t>
  </si>
  <si>
    <t>Durée en années</t>
  </si>
  <si>
    <t>Tableau de remboursement de l'emprunt</t>
  </si>
  <si>
    <t>Années</t>
  </si>
  <si>
    <t>Intérêts</t>
  </si>
  <si>
    <t>Capital</t>
  </si>
  <si>
    <t>Décaissement total</t>
  </si>
  <si>
    <t>En trésorerie</t>
  </si>
  <si>
    <t>Loyers</t>
  </si>
  <si>
    <t xml:space="preserve">Charges </t>
  </si>
  <si>
    <t>Emprunt</t>
  </si>
  <si>
    <t>En résultat</t>
  </si>
  <si>
    <t>Charges</t>
  </si>
  <si>
    <t>Intérêts sur emprunt</t>
  </si>
  <si>
    <t xml:space="preserve">  - et devra payer les frais notariés</t>
  </si>
  <si>
    <t xml:space="preserve">Les associés apportent en numéraire </t>
  </si>
  <si>
    <t>Caractéristiques de l'appartement</t>
  </si>
  <si>
    <t>Remboursement constant</t>
  </si>
  <si>
    <t xml:space="preserve">  - un appartement TTC</t>
  </si>
  <si>
    <t>Loyer</t>
  </si>
  <si>
    <t>Syndic annuel</t>
  </si>
  <si>
    <t>Taxe foncière annuelle</t>
  </si>
  <si>
    <t>(exonération les deux premières années)</t>
  </si>
  <si>
    <t xml:space="preserve">  - Loyer mensuel</t>
  </si>
  <si>
    <t xml:space="preserve">  - loyer annuel</t>
  </si>
  <si>
    <t xml:space="preserve">  - taux de rendement</t>
  </si>
  <si>
    <t xml:space="preserve">Loyers </t>
  </si>
  <si>
    <t>Net</t>
  </si>
  <si>
    <t>Capital début</t>
  </si>
  <si>
    <t>Trésorerie du montage</t>
  </si>
  <si>
    <t>Valeur du bien TTC</t>
  </si>
  <si>
    <t>TRI net d'impôt</t>
  </si>
  <si>
    <r>
      <t>Nombre de m</t>
    </r>
    <r>
      <rPr>
        <vertAlign val="superscript"/>
        <sz val="10"/>
        <rFont val="Arial"/>
        <family val="2"/>
      </rPr>
      <t>2</t>
    </r>
  </si>
  <si>
    <r>
      <t>Prix au m</t>
    </r>
    <r>
      <rPr>
        <vertAlign val="superscript"/>
        <sz val="10"/>
        <rFont val="Arial"/>
        <family val="2"/>
      </rPr>
      <t>2</t>
    </r>
  </si>
  <si>
    <t xml:space="preserve">Résultat net </t>
  </si>
  <si>
    <t xml:space="preserve">  - Indice de révision des loyers</t>
  </si>
  <si>
    <t>Taux d'imposition (IR + PS)</t>
  </si>
  <si>
    <t>Besoins de financement de la SCI ( en K, €)</t>
  </si>
  <si>
    <t>Mode de financement de la SCI (en K €)</t>
  </si>
  <si>
    <t>Location nue : Duflot + RF</t>
  </si>
  <si>
    <r>
      <t xml:space="preserve">  - Loyer au m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en zone A bis</t>
    </r>
  </si>
  <si>
    <t>Zone A bis</t>
  </si>
  <si>
    <t>Taux d'intérêt et ADI</t>
  </si>
  <si>
    <t>Remboursement mensuel constant</t>
  </si>
  <si>
    <r>
      <t>Trésorerie annuelle</t>
    </r>
    <r>
      <rPr>
        <sz val="10"/>
        <rFont val="Arial"/>
        <family val="2"/>
      </rPr>
      <t xml:space="preserve"> </t>
    </r>
  </si>
  <si>
    <t>Réduction d'IR de 18 %</t>
  </si>
  <si>
    <t>Imposition sur revenus fonciers</t>
  </si>
  <si>
    <t xml:space="preserve">Plan de financement et compte de résultat prévisionnels </t>
  </si>
  <si>
    <t>Taux de rentabilité interne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</si>
</sst>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\ &quot;€&quot;"/>
    <numFmt numFmtId="166" formatCode="#,##0.00\ &quot;€&quot;"/>
  </numFmts>
  <fonts count="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lightGray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" fontId="2" fillId="0" borderId="1" xfId="0" applyNumberFormat="1" applyFont="1" applyBorder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165" fontId="2" fillId="0" borderId="0" xfId="0" applyNumberFormat="1" applyFont="1"/>
    <xf numFmtId="165" fontId="3" fillId="0" borderId="0" xfId="0" applyNumberFormat="1" applyFont="1"/>
    <xf numFmtId="1" fontId="6" fillId="0" borderId="0" xfId="0" applyNumberFormat="1" applyFont="1" applyAlignment="1"/>
    <xf numFmtId="1" fontId="1" fillId="0" borderId="0" xfId="0" applyNumberFormat="1" applyFont="1"/>
    <xf numFmtId="165" fontId="1" fillId="2" borderId="2" xfId="0" applyNumberFormat="1" applyFont="1" applyFill="1" applyBorder="1"/>
    <xf numFmtId="1" fontId="1" fillId="0" borderId="1" xfId="0" applyNumberFormat="1" applyFont="1" applyBorder="1"/>
    <xf numFmtId="164" fontId="1" fillId="0" borderId="0" xfId="0" applyNumberFormat="1" applyFont="1" applyBorder="1"/>
    <xf numFmtId="165" fontId="2" fillId="2" borderId="7" xfId="0" applyNumberFormat="1" applyFont="1" applyFill="1" applyBorder="1"/>
    <xf numFmtId="165" fontId="2" fillId="2" borderId="8" xfId="0" applyNumberFormat="1" applyFont="1" applyFill="1" applyBorder="1"/>
    <xf numFmtId="165" fontId="2" fillId="0" borderId="9" xfId="0" applyNumberFormat="1" applyFont="1" applyBorder="1"/>
    <xf numFmtId="165" fontId="2" fillId="0" borderId="10" xfId="0" applyNumberFormat="1" applyFont="1" applyBorder="1"/>
    <xf numFmtId="165" fontId="3" fillId="0" borderId="3" xfId="0" applyNumberFormat="1" applyFont="1" applyBorder="1" applyAlignment="1">
      <alignment horizontal="center"/>
    </xf>
    <xf numFmtId="165" fontId="2" fillId="0" borderId="4" xfId="0" applyNumberFormat="1" applyFont="1" applyBorder="1"/>
    <xf numFmtId="165" fontId="2" fillId="0" borderId="11" xfId="0" applyNumberFormat="1" applyFont="1" applyBorder="1"/>
    <xf numFmtId="165" fontId="2" fillId="0" borderId="1" xfId="0" applyNumberFormat="1" applyFont="1" applyBorder="1"/>
    <xf numFmtId="3" fontId="2" fillId="0" borderId="1" xfId="0" applyNumberFormat="1" applyFont="1" applyBorder="1"/>
    <xf numFmtId="3" fontId="2" fillId="0" borderId="0" xfId="0" applyNumberFormat="1" applyFont="1"/>
    <xf numFmtId="3" fontId="2" fillId="0" borderId="3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3" fontId="2" fillId="0" borderId="6" xfId="0" applyNumberFormat="1" applyFont="1" applyBorder="1"/>
    <xf numFmtId="165" fontId="1" fillId="0" borderId="2" xfId="0" applyNumberFormat="1" applyFont="1" applyBorder="1"/>
    <xf numFmtId="165" fontId="2" fillId="0" borderId="8" xfId="0" applyNumberFormat="1" applyFont="1" applyBorder="1"/>
    <xf numFmtId="3" fontId="1" fillId="0" borderId="5" xfId="0" applyNumberFormat="1" applyFont="1" applyBorder="1"/>
    <xf numFmtId="3" fontId="2" fillId="2" borderId="8" xfId="0" applyNumberFormat="1" applyFont="1" applyFill="1" applyBorder="1"/>
    <xf numFmtId="164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Border="1"/>
    <xf numFmtId="9" fontId="2" fillId="0" borderId="0" xfId="0" applyNumberFormat="1" applyFont="1" applyBorder="1"/>
    <xf numFmtId="1" fontId="1" fillId="0" borderId="5" xfId="0" applyNumberFormat="1" applyFont="1" applyBorder="1" applyAlignment="1">
      <alignment horizontal="center"/>
    </xf>
    <xf numFmtId="1" fontId="1" fillId="1" borderId="5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3" xfId="0" applyNumberFormat="1" applyFont="1" applyBorder="1"/>
    <xf numFmtId="1" fontId="2" fillId="0" borderId="0" xfId="0" applyNumberFormat="1" applyFont="1"/>
    <xf numFmtId="1" fontId="2" fillId="0" borderId="6" xfId="0" applyNumberFormat="1" applyFont="1" applyBorder="1"/>
    <xf numFmtId="1" fontId="2" fillId="0" borderId="5" xfId="0" applyNumberFormat="1" applyFont="1" applyBorder="1"/>
    <xf numFmtId="3" fontId="2" fillId="0" borderId="5" xfId="0" applyNumberFormat="1" applyFont="1" applyBorder="1"/>
    <xf numFmtId="3" fontId="1" fillId="1" borderId="5" xfId="0" applyNumberFormat="1" applyFont="1" applyFill="1" applyBorder="1" applyAlignment="1">
      <alignment horizontal="center"/>
    </xf>
    <xf numFmtId="1" fontId="7" fillId="0" borderId="1" xfId="0" applyNumberFormat="1" applyFont="1" applyBorder="1"/>
    <xf numFmtId="3" fontId="1" fillId="0" borderId="3" xfId="0" applyNumberFormat="1" applyFont="1" applyBorder="1"/>
    <xf numFmtId="3" fontId="1" fillId="0" borderId="1" xfId="0" applyNumberFormat="1" applyFont="1" applyBorder="1"/>
    <xf numFmtId="3" fontId="1" fillId="0" borderId="6" xfId="0" applyNumberFormat="1" applyFont="1" applyBorder="1"/>
    <xf numFmtId="1" fontId="1" fillId="0" borderId="6" xfId="0" applyNumberFormat="1" applyFont="1" applyBorder="1"/>
    <xf numFmtId="1" fontId="1" fillId="0" borderId="3" xfId="0" applyNumberFormat="1" applyFont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/>
    <xf numFmtId="9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S94"/>
  <sheetViews>
    <sheetView tabSelected="1" topLeftCell="A66" workbookViewId="0">
      <selection activeCell="F72" sqref="F72"/>
    </sheetView>
  </sheetViews>
  <sheetFormatPr baseColWidth="10" defaultRowHeight="12.75"/>
  <cols>
    <col min="1" max="1" width="11.42578125" style="4"/>
    <col min="2" max="2" width="4" style="4" customWidth="1"/>
    <col min="3" max="3" width="33.85546875" style="4" customWidth="1"/>
    <col min="4" max="8" width="7.7109375" style="4" customWidth="1"/>
    <col min="9" max="11" width="8.28515625" style="4" hidden="1" customWidth="1"/>
    <col min="12" max="12" width="7.7109375" style="4" customWidth="1"/>
    <col min="13" max="16" width="8.28515625" style="4" hidden="1" customWidth="1"/>
    <col min="17" max="18" width="7.7109375" style="4" customWidth="1"/>
    <col min="19" max="19" width="8.5703125" style="4" customWidth="1"/>
    <col min="20" max="16384" width="11.42578125" style="4"/>
  </cols>
  <sheetData>
    <row r="3" spans="3:7">
      <c r="C3" s="2" t="s">
        <v>43</v>
      </c>
    </row>
    <row r="4" spans="3:7">
      <c r="C4" s="2" t="s">
        <v>21</v>
      </c>
    </row>
    <row r="5" spans="3:7">
      <c r="C5" s="2" t="s">
        <v>45</v>
      </c>
    </row>
    <row r="7" spans="3:7">
      <c r="C7" s="8" t="s">
        <v>41</v>
      </c>
      <c r="D7" s="11"/>
      <c r="E7" s="12"/>
    </row>
    <row r="8" spans="3:7">
      <c r="C8" s="13"/>
      <c r="D8" s="14"/>
      <c r="E8" s="15"/>
    </row>
    <row r="9" spans="3:7">
      <c r="C9" s="16" t="s">
        <v>0</v>
      </c>
      <c r="D9" s="17"/>
      <c r="E9" s="18"/>
      <c r="F9" s="3"/>
      <c r="G9" s="2"/>
    </row>
    <row r="10" spans="3:7">
      <c r="C10" s="16" t="s">
        <v>22</v>
      </c>
      <c r="D10" s="17"/>
      <c r="E10" s="19">
        <v>200</v>
      </c>
      <c r="F10" s="20"/>
    </row>
    <row r="11" spans="3:7" hidden="1">
      <c r="C11" s="16"/>
      <c r="D11" s="17"/>
      <c r="E11" s="19"/>
    </row>
    <row r="12" spans="3:7" hidden="1">
      <c r="C12" s="16"/>
      <c r="D12" s="17"/>
      <c r="E12" s="21"/>
    </row>
    <row r="13" spans="3:7">
      <c r="C13" s="16" t="s">
        <v>18</v>
      </c>
      <c r="D13" s="17"/>
      <c r="E13" s="19">
        <f>+E10*0.03</f>
        <v>6</v>
      </c>
    </row>
    <row r="14" spans="3:7" hidden="1">
      <c r="C14" s="16"/>
      <c r="D14" s="17"/>
      <c r="E14" s="19"/>
    </row>
    <row r="15" spans="3:7">
      <c r="C15" s="22"/>
      <c r="D15" s="23"/>
      <c r="E15" s="24"/>
    </row>
    <row r="16" spans="3:7">
      <c r="C16" s="25" t="s">
        <v>1</v>
      </c>
      <c r="D16" s="26"/>
      <c r="E16" s="27">
        <f>SUM(E8:E15)</f>
        <v>206</v>
      </c>
    </row>
    <row r="17" spans="3:7" hidden="1">
      <c r="C17" s="5"/>
      <c r="E17" s="20"/>
    </row>
    <row r="18" spans="3:7">
      <c r="E18" s="20"/>
    </row>
    <row r="19" spans="3:7">
      <c r="C19" s="8" t="s">
        <v>42</v>
      </c>
      <c r="D19" s="11"/>
      <c r="E19" s="28"/>
    </row>
    <row r="20" spans="3:7">
      <c r="C20" s="13" t="s">
        <v>19</v>
      </c>
      <c r="D20" s="14"/>
      <c r="E20" s="21">
        <v>0</v>
      </c>
    </row>
    <row r="21" spans="3:7">
      <c r="C21" s="22" t="s">
        <v>2</v>
      </c>
      <c r="D21" s="23"/>
      <c r="E21" s="24">
        <f>+E16-E20</f>
        <v>206</v>
      </c>
    </row>
    <row r="22" spans="3:7">
      <c r="C22" s="25" t="s">
        <v>3</v>
      </c>
      <c r="D22" s="26"/>
      <c r="E22" s="27">
        <f>+E20+E21</f>
        <v>206</v>
      </c>
    </row>
    <row r="25" spans="3:7">
      <c r="C25" s="2" t="s">
        <v>4</v>
      </c>
    </row>
    <row r="26" spans="3:7">
      <c r="C26" s="4" t="s">
        <v>5</v>
      </c>
      <c r="E26" s="20">
        <v>15</v>
      </c>
    </row>
    <row r="27" spans="3:7">
      <c r="C27" s="4" t="s">
        <v>46</v>
      </c>
      <c r="E27" s="29">
        <v>3.5000000000000003E-2</v>
      </c>
    </row>
    <row r="28" spans="3:7">
      <c r="C28" s="4" t="s">
        <v>47</v>
      </c>
      <c r="E28" s="4">
        <v>1472.6580351669425</v>
      </c>
    </row>
    <row r="30" spans="3:7">
      <c r="C30" s="2" t="s">
        <v>20</v>
      </c>
    </row>
    <row r="31" spans="3:7">
      <c r="C31" s="4" t="s">
        <v>23</v>
      </c>
      <c r="F31" s="3"/>
      <c r="G31" s="3"/>
    </row>
    <row r="32" spans="3:7" ht="14.25">
      <c r="C32" s="4" t="s">
        <v>44</v>
      </c>
      <c r="E32" s="30">
        <v>16.52</v>
      </c>
      <c r="F32" s="3"/>
      <c r="G32" s="3"/>
    </row>
    <row r="33" spans="3:18">
      <c r="C33" s="4" t="s">
        <v>27</v>
      </c>
      <c r="E33" s="4">
        <f>+E32*E37</f>
        <v>660.8</v>
      </c>
      <c r="F33" s="30"/>
      <c r="G33" s="31"/>
    </row>
    <row r="34" spans="3:18">
      <c r="C34" s="4" t="s">
        <v>28</v>
      </c>
      <c r="E34" s="4">
        <f>+E33*12</f>
        <v>7929.5999999999995</v>
      </c>
    </row>
    <row r="35" spans="3:18">
      <c r="C35" s="4" t="s">
        <v>29</v>
      </c>
      <c r="E35" s="29">
        <f>+E34/(E10*1000)</f>
        <v>3.9647999999999996E-2</v>
      </c>
    </row>
    <row r="36" spans="3:18">
      <c r="C36" s="4" t="s">
        <v>39</v>
      </c>
      <c r="E36" s="29">
        <v>1.4999999999999999E-2</v>
      </c>
    </row>
    <row r="37" spans="3:18" ht="14.25">
      <c r="C37" s="4" t="s">
        <v>36</v>
      </c>
      <c r="E37" s="20">
        <v>40</v>
      </c>
    </row>
    <row r="38" spans="3:18" ht="14.25">
      <c r="C38" s="4" t="s">
        <v>37</v>
      </c>
      <c r="E38" s="4">
        <f>+E10*1000/E37</f>
        <v>5000</v>
      </c>
    </row>
    <row r="39" spans="3:18">
      <c r="C39" s="4" t="s">
        <v>24</v>
      </c>
      <c r="E39" s="32">
        <v>700</v>
      </c>
    </row>
    <row r="40" spans="3:18">
      <c r="C40" s="4" t="s">
        <v>25</v>
      </c>
      <c r="E40" s="32">
        <v>300</v>
      </c>
      <c r="F40" s="5" t="s">
        <v>26</v>
      </c>
    </row>
    <row r="41" spans="3:18">
      <c r="E41" s="32"/>
      <c r="F41" s="5"/>
    </row>
    <row r="42" spans="3:18">
      <c r="C42" s="2" t="s">
        <v>40</v>
      </c>
      <c r="E42" s="10">
        <v>0.60499999999999998</v>
      </c>
    </row>
    <row r="43" spans="3:18">
      <c r="C43" s="2"/>
      <c r="E43" s="33"/>
    </row>
    <row r="44" spans="3:18">
      <c r="C44" s="2" t="s">
        <v>6</v>
      </c>
    </row>
    <row r="45" spans="3:18" ht="12.75" customHeight="1">
      <c r="C45" s="2"/>
    </row>
    <row r="46" spans="3:18" s="36" customFormat="1">
      <c r="C46" s="34" t="s">
        <v>7</v>
      </c>
      <c r="D46" s="35">
        <v>1</v>
      </c>
      <c r="E46" s="35">
        <f>+D46+1</f>
        <v>2</v>
      </c>
      <c r="F46" s="35">
        <f t="shared" ref="F46:R46" si="0">+E46+1</f>
        <v>3</v>
      </c>
      <c r="G46" s="35">
        <f t="shared" si="0"/>
        <v>4</v>
      </c>
      <c r="H46" s="35">
        <f t="shared" si="0"/>
        <v>5</v>
      </c>
      <c r="I46" s="35">
        <f t="shared" si="0"/>
        <v>6</v>
      </c>
      <c r="J46" s="35">
        <f t="shared" si="0"/>
        <v>7</v>
      </c>
      <c r="K46" s="35">
        <f t="shared" si="0"/>
        <v>8</v>
      </c>
      <c r="L46" s="35">
        <f t="shared" si="0"/>
        <v>9</v>
      </c>
      <c r="M46" s="35">
        <f t="shared" si="0"/>
        <v>10</v>
      </c>
      <c r="N46" s="35">
        <f t="shared" si="0"/>
        <v>11</v>
      </c>
      <c r="O46" s="35">
        <f t="shared" si="0"/>
        <v>12</v>
      </c>
      <c r="P46" s="35">
        <f t="shared" si="0"/>
        <v>13</v>
      </c>
      <c r="Q46" s="35">
        <f t="shared" si="0"/>
        <v>14</v>
      </c>
      <c r="R46" s="35">
        <f t="shared" si="0"/>
        <v>15</v>
      </c>
    </row>
    <row r="47" spans="3:18" s="38" customFormat="1">
      <c r="C47" s="37" t="s">
        <v>8</v>
      </c>
      <c r="D47" s="21">
        <f>-D75</f>
        <v>7040.5313429459211</v>
      </c>
      <c r="E47" s="21">
        <f t="shared" ref="E47:R47" si="1">-E75</f>
        <v>6662.4060814276509</v>
      </c>
      <c r="F47" s="21">
        <f t="shared" si="1"/>
        <v>6270.8320565252816</v>
      </c>
      <c r="G47" s="21">
        <f t="shared" si="1"/>
        <v>5865.330936704343</v>
      </c>
      <c r="H47" s="21">
        <f t="shared" si="1"/>
        <v>5445.4073776351943</v>
      </c>
      <c r="I47" s="21">
        <f t="shared" si="1"/>
        <v>5010.5484170997279</v>
      </c>
      <c r="J47" s="21">
        <f t="shared" si="1"/>
        <v>4560.222848376764</v>
      </c>
      <c r="K47" s="21">
        <f t="shared" si="1"/>
        <v>4093.8805713406646</v>
      </c>
      <c r="L47" s="21">
        <f t="shared" si="1"/>
        <v>3610.9519204805051</v>
      </c>
      <c r="M47" s="21">
        <f t="shared" si="1"/>
        <v>3110.8469690189409</v>
      </c>
      <c r="N47" s="21">
        <f t="shared" si="1"/>
        <v>2592.9548082806959</v>
      </c>
      <c r="O47" s="21">
        <f t="shared" si="1"/>
        <v>2056.6428014303883</v>
      </c>
      <c r="P47" s="21">
        <f t="shared" si="1"/>
        <v>1501.2558106680758</v>
      </c>
      <c r="Q47" s="21">
        <f t="shared" si="1"/>
        <v>926.11539693851557</v>
      </c>
      <c r="R47" s="21">
        <f t="shared" si="1"/>
        <v>330.51899117651078</v>
      </c>
    </row>
    <row r="48" spans="3:18" s="38" customFormat="1">
      <c r="C48" s="39" t="s">
        <v>9</v>
      </c>
      <c r="D48" s="19">
        <f>+D49-D47</f>
        <v>10631.365079057388</v>
      </c>
      <c r="E48" s="19">
        <f t="shared" ref="E48:R48" si="2">+E49-E47</f>
        <v>11009.490340575658</v>
      </c>
      <c r="F48" s="19">
        <f t="shared" si="2"/>
        <v>11401.064365478027</v>
      </c>
      <c r="G48" s="19">
        <f t="shared" si="2"/>
        <v>11806.565485298965</v>
      </c>
      <c r="H48" s="19">
        <f t="shared" si="2"/>
        <v>12226.489044368114</v>
      </c>
      <c r="I48" s="24">
        <f t="shared" si="2"/>
        <v>12661.348004903581</v>
      </c>
      <c r="J48" s="24">
        <f t="shared" si="2"/>
        <v>13111.673573626544</v>
      </c>
      <c r="K48" s="24">
        <f t="shared" si="2"/>
        <v>13578.015850662643</v>
      </c>
      <c r="L48" s="24">
        <f t="shared" si="2"/>
        <v>14060.944501522803</v>
      </c>
      <c r="M48" s="24">
        <f t="shared" si="2"/>
        <v>14561.049452984367</v>
      </c>
      <c r="N48" s="24">
        <f t="shared" si="2"/>
        <v>15078.941613722613</v>
      </c>
      <c r="O48" s="24">
        <f t="shared" si="2"/>
        <v>15615.253620572919</v>
      </c>
      <c r="P48" s="24">
        <f t="shared" si="2"/>
        <v>16170.640611335233</v>
      </c>
      <c r="Q48" s="24">
        <f t="shared" si="2"/>
        <v>16745.781025064793</v>
      </c>
      <c r="R48" s="19">
        <f t="shared" si="2"/>
        <v>17341.377430826797</v>
      </c>
    </row>
    <row r="49" spans="3:18" s="38" customFormat="1">
      <c r="C49" s="40" t="s">
        <v>10</v>
      </c>
      <c r="D49" s="41">
        <f>-D64</f>
        <v>17671.896422003309</v>
      </c>
      <c r="E49" s="41">
        <f t="shared" ref="E49:R49" si="3">-E64</f>
        <v>17671.896422003309</v>
      </c>
      <c r="F49" s="41">
        <f t="shared" si="3"/>
        <v>17671.896422003309</v>
      </c>
      <c r="G49" s="41">
        <f t="shared" si="3"/>
        <v>17671.896422003309</v>
      </c>
      <c r="H49" s="41">
        <f t="shared" si="3"/>
        <v>17671.896422003309</v>
      </c>
      <c r="I49" s="41">
        <f t="shared" si="3"/>
        <v>17671.896422003309</v>
      </c>
      <c r="J49" s="41">
        <f t="shared" si="3"/>
        <v>17671.896422003309</v>
      </c>
      <c r="K49" s="41">
        <f t="shared" si="3"/>
        <v>17671.896422003309</v>
      </c>
      <c r="L49" s="41">
        <f t="shared" si="3"/>
        <v>17671.896422003309</v>
      </c>
      <c r="M49" s="41">
        <f t="shared" si="3"/>
        <v>17671.896422003309</v>
      </c>
      <c r="N49" s="41">
        <f t="shared" si="3"/>
        <v>17671.896422003309</v>
      </c>
      <c r="O49" s="41">
        <f t="shared" si="3"/>
        <v>17671.896422003309</v>
      </c>
      <c r="P49" s="41">
        <f t="shared" si="3"/>
        <v>17671.896422003309</v>
      </c>
      <c r="Q49" s="41">
        <f t="shared" si="3"/>
        <v>17671.896422003309</v>
      </c>
      <c r="R49" s="41">
        <f t="shared" si="3"/>
        <v>17671.896422003309</v>
      </c>
    </row>
    <row r="50" spans="3:18" s="38" customFormat="1"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3:18" s="38" customFormat="1" hidden="1"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3:18" s="38" customFormat="1" hidden="1"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3:18" s="38" customFormat="1" hidden="1"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3:18" s="38" customFormat="1" hidden="1"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3:18" s="38" customFormat="1" hidden="1"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3:18" s="38" customFormat="1"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3:18" s="38" customFormat="1" ht="15.75">
      <c r="C57" s="6" t="s">
        <v>51</v>
      </c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3:18" s="38" customFormat="1">
      <c r="C58" s="7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3:18" s="36" customFormat="1">
      <c r="C59" s="34" t="s">
        <v>7</v>
      </c>
      <c r="D59" s="42">
        <v>1</v>
      </c>
      <c r="E59" s="42">
        <f>+D59+1</f>
        <v>2</v>
      </c>
      <c r="F59" s="42">
        <f t="shared" ref="F59:R59" si="4">+E59+1</f>
        <v>3</v>
      </c>
      <c r="G59" s="42">
        <f t="shared" si="4"/>
        <v>4</v>
      </c>
      <c r="H59" s="42">
        <f t="shared" si="4"/>
        <v>5</v>
      </c>
      <c r="I59" s="42">
        <f t="shared" si="4"/>
        <v>6</v>
      </c>
      <c r="J59" s="42">
        <f t="shared" si="4"/>
        <v>7</v>
      </c>
      <c r="K59" s="42">
        <f t="shared" si="4"/>
        <v>8</v>
      </c>
      <c r="L59" s="42">
        <f t="shared" si="4"/>
        <v>9</v>
      </c>
      <c r="M59" s="42">
        <f t="shared" si="4"/>
        <v>10</v>
      </c>
      <c r="N59" s="42">
        <f t="shared" si="4"/>
        <v>11</v>
      </c>
      <c r="O59" s="42">
        <f t="shared" si="4"/>
        <v>12</v>
      </c>
      <c r="P59" s="42">
        <f t="shared" si="4"/>
        <v>13</v>
      </c>
      <c r="Q59" s="42">
        <f t="shared" si="4"/>
        <v>14</v>
      </c>
      <c r="R59" s="42">
        <f t="shared" si="4"/>
        <v>15</v>
      </c>
    </row>
    <row r="60" spans="3:18" s="38" customFormat="1">
      <c r="C60" s="37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</row>
    <row r="61" spans="3:18" s="38" customFormat="1">
      <c r="C61" s="43" t="s">
        <v>11</v>
      </c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3:18" s="38" customFormat="1" ht="12.75" customHeight="1">
      <c r="C62" s="1" t="s">
        <v>12</v>
      </c>
      <c r="D62" s="19">
        <f>+E34</f>
        <v>7929.5999999999995</v>
      </c>
      <c r="E62" s="19">
        <f>+D62*(1+$E$36)</f>
        <v>8048.543999999999</v>
      </c>
      <c r="F62" s="19">
        <f t="shared" ref="F62:R62" si="5">+E62*(1+$E$36)</f>
        <v>8169.2721599999977</v>
      </c>
      <c r="G62" s="19">
        <f t="shared" si="5"/>
        <v>8291.8112423999974</v>
      </c>
      <c r="H62" s="19">
        <f t="shared" si="5"/>
        <v>8416.188411035997</v>
      </c>
      <c r="I62" s="19">
        <f t="shared" si="5"/>
        <v>8542.4312372015356</v>
      </c>
      <c r="J62" s="19">
        <f t="shared" si="5"/>
        <v>8670.5677057595585</v>
      </c>
      <c r="K62" s="19">
        <f t="shared" si="5"/>
        <v>8800.6262213459504</v>
      </c>
      <c r="L62" s="19">
        <f t="shared" si="5"/>
        <v>8932.6356146661383</v>
      </c>
      <c r="M62" s="19">
        <f t="shared" si="5"/>
        <v>9066.625148886129</v>
      </c>
      <c r="N62" s="19">
        <f t="shared" si="5"/>
        <v>9202.6245261194199</v>
      </c>
      <c r="O62" s="19">
        <f t="shared" si="5"/>
        <v>9340.6638940112098</v>
      </c>
      <c r="P62" s="19">
        <f t="shared" si="5"/>
        <v>9480.7738524213764</v>
      </c>
      <c r="Q62" s="19">
        <f t="shared" si="5"/>
        <v>9622.9854602076957</v>
      </c>
      <c r="R62" s="19">
        <f t="shared" si="5"/>
        <v>9767.330242110811</v>
      </c>
    </row>
    <row r="63" spans="3:18" s="38" customFormat="1" ht="12.75" customHeight="1">
      <c r="C63" s="1" t="s">
        <v>13</v>
      </c>
      <c r="D63" s="19">
        <f>-E39</f>
        <v>-700</v>
      </c>
      <c r="E63" s="19">
        <f>-E39</f>
        <v>-700</v>
      </c>
      <c r="F63" s="19">
        <f>-$E$39-$E$40</f>
        <v>-1000</v>
      </c>
      <c r="G63" s="19">
        <f t="shared" ref="G63:R63" si="6">-$E$39-$E$40</f>
        <v>-1000</v>
      </c>
      <c r="H63" s="19">
        <f t="shared" si="6"/>
        <v>-1000</v>
      </c>
      <c r="I63" s="19">
        <f t="shared" si="6"/>
        <v>-1000</v>
      </c>
      <c r="J63" s="19">
        <f t="shared" si="6"/>
        <v>-1000</v>
      </c>
      <c r="K63" s="19">
        <f t="shared" si="6"/>
        <v>-1000</v>
      </c>
      <c r="L63" s="19">
        <f t="shared" si="6"/>
        <v>-1000</v>
      </c>
      <c r="M63" s="19">
        <f t="shared" si="6"/>
        <v>-1000</v>
      </c>
      <c r="N63" s="19">
        <f t="shared" si="6"/>
        <v>-1000</v>
      </c>
      <c r="O63" s="19">
        <f t="shared" si="6"/>
        <v>-1000</v>
      </c>
      <c r="P63" s="19">
        <f t="shared" si="6"/>
        <v>-1000</v>
      </c>
      <c r="Q63" s="19">
        <f t="shared" si="6"/>
        <v>-1000</v>
      </c>
      <c r="R63" s="19">
        <f t="shared" si="6"/>
        <v>-1000</v>
      </c>
    </row>
    <row r="64" spans="3:18" s="38" customFormat="1" ht="12.75" customHeight="1">
      <c r="C64" s="1" t="s">
        <v>14</v>
      </c>
      <c r="D64" s="19">
        <f>-$E$28*12</f>
        <v>-17671.896422003309</v>
      </c>
      <c r="E64" s="19">
        <f t="shared" ref="E64:R64" si="7">-$E$28*12</f>
        <v>-17671.896422003309</v>
      </c>
      <c r="F64" s="19">
        <f t="shared" si="7"/>
        <v>-17671.896422003309</v>
      </c>
      <c r="G64" s="19">
        <f t="shared" si="7"/>
        <v>-17671.896422003309</v>
      </c>
      <c r="H64" s="19">
        <f t="shared" si="7"/>
        <v>-17671.896422003309</v>
      </c>
      <c r="I64" s="19">
        <f t="shared" si="7"/>
        <v>-17671.896422003309</v>
      </c>
      <c r="J64" s="19">
        <f t="shared" si="7"/>
        <v>-17671.896422003309</v>
      </c>
      <c r="K64" s="19">
        <f t="shared" si="7"/>
        <v>-17671.896422003309</v>
      </c>
      <c r="L64" s="19">
        <f t="shared" si="7"/>
        <v>-17671.896422003309</v>
      </c>
      <c r="M64" s="19">
        <f t="shared" si="7"/>
        <v>-17671.896422003309</v>
      </c>
      <c r="N64" s="19">
        <f t="shared" si="7"/>
        <v>-17671.896422003309</v>
      </c>
      <c r="O64" s="19">
        <f t="shared" si="7"/>
        <v>-17671.896422003309</v>
      </c>
      <c r="P64" s="19">
        <f t="shared" si="7"/>
        <v>-17671.896422003309</v>
      </c>
      <c r="Q64" s="19">
        <f t="shared" si="7"/>
        <v>-17671.896422003309</v>
      </c>
      <c r="R64" s="19">
        <f t="shared" si="7"/>
        <v>-17671.896422003309</v>
      </c>
    </row>
    <row r="65" spans="3:19" s="38" customFormat="1" ht="12.75" customHeight="1">
      <c r="C65" s="1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</row>
    <row r="66" spans="3:19" s="7" customFormat="1" ht="12.75" customHeight="1">
      <c r="C66" s="9" t="s">
        <v>48</v>
      </c>
      <c r="D66" s="44">
        <f>SUM(D62:D65)</f>
        <v>-10442.29642200331</v>
      </c>
      <c r="E66" s="44">
        <f t="shared" ref="E66:R66" si="8">SUM(E62:E65)</f>
        <v>-10323.35242200331</v>
      </c>
      <c r="F66" s="44">
        <f t="shared" si="8"/>
        <v>-10502.624262003312</v>
      </c>
      <c r="G66" s="44">
        <f t="shared" si="8"/>
        <v>-10380.085179603311</v>
      </c>
      <c r="H66" s="44">
        <f t="shared" si="8"/>
        <v>-10255.708010967312</v>
      </c>
      <c r="I66" s="44">
        <f t="shared" si="8"/>
        <v>-10129.465184801773</v>
      </c>
      <c r="J66" s="44">
        <f t="shared" si="8"/>
        <v>-10001.32871624375</v>
      </c>
      <c r="K66" s="44">
        <f t="shared" si="8"/>
        <v>-9871.2702006573581</v>
      </c>
      <c r="L66" s="44">
        <f t="shared" si="8"/>
        <v>-9739.2608073371703</v>
      </c>
      <c r="M66" s="44">
        <f t="shared" si="8"/>
        <v>-9605.2712731171796</v>
      </c>
      <c r="N66" s="44">
        <f t="shared" si="8"/>
        <v>-9469.2718958838886</v>
      </c>
      <c r="O66" s="44">
        <f t="shared" si="8"/>
        <v>-9331.2325279920988</v>
      </c>
      <c r="P66" s="44">
        <f t="shared" si="8"/>
        <v>-9191.1225695819321</v>
      </c>
      <c r="Q66" s="44">
        <f t="shared" si="8"/>
        <v>-9048.9109617956128</v>
      </c>
      <c r="R66" s="44">
        <f t="shared" si="8"/>
        <v>-8904.5661798924975</v>
      </c>
    </row>
    <row r="67" spans="3:19" s="7" customFormat="1" ht="12.75" customHeight="1">
      <c r="C67" s="9" t="s">
        <v>49</v>
      </c>
      <c r="D67" s="45">
        <f>+$E$10*1000*0.18/9</f>
        <v>4000</v>
      </c>
      <c r="E67" s="45">
        <f t="shared" ref="E67:L67" si="9">+$E$10*1000*0.18/9</f>
        <v>4000</v>
      </c>
      <c r="F67" s="45">
        <f t="shared" si="9"/>
        <v>4000</v>
      </c>
      <c r="G67" s="45">
        <f t="shared" si="9"/>
        <v>4000</v>
      </c>
      <c r="H67" s="45">
        <f t="shared" si="9"/>
        <v>4000</v>
      </c>
      <c r="I67" s="45">
        <f t="shared" si="9"/>
        <v>4000</v>
      </c>
      <c r="J67" s="45">
        <f t="shared" si="9"/>
        <v>4000</v>
      </c>
      <c r="K67" s="45">
        <f t="shared" si="9"/>
        <v>4000</v>
      </c>
      <c r="L67" s="45">
        <f t="shared" si="9"/>
        <v>4000</v>
      </c>
      <c r="M67" s="45"/>
      <c r="N67" s="45"/>
      <c r="O67" s="45"/>
      <c r="P67" s="45"/>
      <c r="Q67" s="45"/>
      <c r="R67" s="45"/>
    </row>
    <row r="68" spans="3:19" s="7" customFormat="1" ht="12.75" customHeight="1">
      <c r="C68" s="9" t="s">
        <v>50</v>
      </c>
      <c r="D68" s="45">
        <f>-D79*$E$42</f>
        <v>-114.3865375177174</v>
      </c>
      <c r="E68" s="45">
        <f t="shared" ref="E68:R68" si="10">-E79*$E$42</f>
        <v>-415.1134407362706</v>
      </c>
      <c r="F68" s="45">
        <f t="shared" si="10"/>
        <v>-543.55626260220322</v>
      </c>
      <c r="G68" s="45">
        <f t="shared" si="10"/>
        <v>-863.02058494587084</v>
      </c>
      <c r="H68" s="45">
        <f t="shared" si="10"/>
        <v>-1192.3225252074856</v>
      </c>
      <c r="I68" s="45">
        <f t="shared" si="10"/>
        <v>-1531.7891061615937</v>
      </c>
      <c r="J68" s="45">
        <f t="shared" si="10"/>
        <v>-1881.7586387165907</v>
      </c>
      <c r="K68" s="45">
        <f t="shared" si="10"/>
        <v>-2242.5811182531979</v>
      </c>
      <c r="L68" s="45">
        <f t="shared" si="10"/>
        <v>-2614.6186349823079</v>
      </c>
      <c r="M68" s="45">
        <f t="shared" si="10"/>
        <v>-2998.2457988196484</v>
      </c>
      <c r="N68" s="45">
        <f t="shared" si="10"/>
        <v>-3393.850179292428</v>
      </c>
      <c r="O68" s="45">
        <f t="shared" si="10"/>
        <v>-3801.832761011397</v>
      </c>
      <c r="P68" s="45">
        <f t="shared" si="10"/>
        <v>-4222.6084152607473</v>
      </c>
      <c r="Q68" s="45">
        <f t="shared" si="10"/>
        <v>-4656.6063882778535</v>
      </c>
      <c r="R68" s="45">
        <f t="shared" si="10"/>
        <v>-5104.2708068152515</v>
      </c>
    </row>
    <row r="69" spans="3:19" s="7" customFormat="1" ht="12.75" customHeight="1">
      <c r="C69" s="9" t="s">
        <v>31</v>
      </c>
      <c r="D69" s="44">
        <f>+D66+D67+D68</f>
        <v>-6556.6829595210274</v>
      </c>
      <c r="E69" s="44">
        <f t="shared" ref="E69:R69" si="11">+E66+E67+E68</f>
        <v>-6738.4658627395811</v>
      </c>
      <c r="F69" s="44">
        <f t="shared" si="11"/>
        <v>-7046.1805246055146</v>
      </c>
      <c r="G69" s="44">
        <f t="shared" si="11"/>
        <v>-7243.1057645491819</v>
      </c>
      <c r="H69" s="44">
        <f t="shared" si="11"/>
        <v>-7448.0305361747969</v>
      </c>
      <c r="I69" s="44">
        <f t="shared" si="11"/>
        <v>-7661.2542909633667</v>
      </c>
      <c r="J69" s="44">
        <f t="shared" si="11"/>
        <v>-7883.0873549603402</v>
      </c>
      <c r="K69" s="44">
        <f t="shared" si="11"/>
        <v>-8113.8513189105561</v>
      </c>
      <c r="L69" s="44">
        <f t="shared" si="11"/>
        <v>-8353.8794423194777</v>
      </c>
      <c r="M69" s="44">
        <f t="shared" si="11"/>
        <v>-12603.517071936829</v>
      </c>
      <c r="N69" s="44">
        <f t="shared" si="11"/>
        <v>-12863.122075176318</v>
      </c>
      <c r="O69" s="44">
        <f t="shared" si="11"/>
        <v>-13133.065289003496</v>
      </c>
      <c r="P69" s="44">
        <f t="shared" si="11"/>
        <v>-13413.730984842679</v>
      </c>
      <c r="Q69" s="44">
        <f t="shared" si="11"/>
        <v>-13705.517350073467</v>
      </c>
      <c r="R69" s="44">
        <f t="shared" si="11"/>
        <v>-14008.836986707749</v>
      </c>
    </row>
    <row r="70" spans="3:19" s="7" customFormat="1">
      <c r="C70" s="9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3:19" s="38" customFormat="1">
      <c r="C71" s="37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</row>
    <row r="72" spans="3:19" s="38" customFormat="1" ht="12.75" customHeight="1">
      <c r="C72" s="43" t="s">
        <v>15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</row>
    <row r="73" spans="3:19" s="38" customFormat="1">
      <c r="C73" s="1" t="s">
        <v>30</v>
      </c>
      <c r="D73" s="19">
        <f>+D62</f>
        <v>7929.5999999999995</v>
      </c>
      <c r="E73" s="19">
        <f t="shared" ref="E73:R73" si="12">+E62</f>
        <v>8048.543999999999</v>
      </c>
      <c r="F73" s="19">
        <f t="shared" si="12"/>
        <v>8169.2721599999977</v>
      </c>
      <c r="G73" s="19">
        <f t="shared" si="12"/>
        <v>8291.8112423999974</v>
      </c>
      <c r="H73" s="19">
        <f t="shared" si="12"/>
        <v>8416.188411035997</v>
      </c>
      <c r="I73" s="19">
        <f t="shared" si="12"/>
        <v>8542.4312372015356</v>
      </c>
      <c r="J73" s="19">
        <f t="shared" si="12"/>
        <v>8670.5677057595585</v>
      </c>
      <c r="K73" s="19">
        <f t="shared" si="12"/>
        <v>8800.6262213459504</v>
      </c>
      <c r="L73" s="19">
        <f t="shared" si="12"/>
        <v>8932.6356146661383</v>
      </c>
      <c r="M73" s="19">
        <f t="shared" si="12"/>
        <v>9066.625148886129</v>
      </c>
      <c r="N73" s="19">
        <f t="shared" si="12"/>
        <v>9202.6245261194199</v>
      </c>
      <c r="O73" s="19">
        <f t="shared" si="12"/>
        <v>9340.6638940112098</v>
      </c>
      <c r="P73" s="19">
        <f t="shared" si="12"/>
        <v>9480.7738524213764</v>
      </c>
      <c r="Q73" s="19">
        <f t="shared" si="12"/>
        <v>9622.9854602076957</v>
      </c>
      <c r="R73" s="19">
        <f t="shared" si="12"/>
        <v>9767.330242110811</v>
      </c>
    </row>
    <row r="74" spans="3:19" s="38" customFormat="1">
      <c r="C74" s="1" t="s">
        <v>16</v>
      </c>
      <c r="D74" s="19">
        <f>+D63</f>
        <v>-700</v>
      </c>
      <c r="E74" s="19">
        <f t="shared" ref="E74:R74" si="13">+E63</f>
        <v>-700</v>
      </c>
      <c r="F74" s="19">
        <f t="shared" si="13"/>
        <v>-1000</v>
      </c>
      <c r="G74" s="19">
        <f t="shared" si="13"/>
        <v>-1000</v>
      </c>
      <c r="H74" s="19">
        <f t="shared" si="13"/>
        <v>-1000</v>
      </c>
      <c r="I74" s="19">
        <f t="shared" si="13"/>
        <v>-1000</v>
      </c>
      <c r="J74" s="19">
        <f t="shared" si="13"/>
        <v>-1000</v>
      </c>
      <c r="K74" s="19">
        <f t="shared" si="13"/>
        <v>-1000</v>
      </c>
      <c r="L74" s="19">
        <f t="shared" si="13"/>
        <v>-1000</v>
      </c>
      <c r="M74" s="19">
        <f t="shared" si="13"/>
        <v>-1000</v>
      </c>
      <c r="N74" s="19">
        <f t="shared" si="13"/>
        <v>-1000</v>
      </c>
      <c r="O74" s="19">
        <f t="shared" si="13"/>
        <v>-1000</v>
      </c>
      <c r="P74" s="19">
        <f t="shared" si="13"/>
        <v>-1000</v>
      </c>
      <c r="Q74" s="19">
        <f t="shared" si="13"/>
        <v>-1000</v>
      </c>
      <c r="R74" s="19">
        <f t="shared" si="13"/>
        <v>-1000</v>
      </c>
    </row>
    <row r="75" spans="3:19" s="38" customFormat="1" ht="12.75" customHeight="1">
      <c r="C75" s="1" t="s">
        <v>17</v>
      </c>
      <c r="D75" s="19">
        <v>-7040.5313429459211</v>
      </c>
      <c r="E75" s="19">
        <v>-6662.4060814276509</v>
      </c>
      <c r="F75" s="19">
        <v>-6270.8320565252816</v>
      </c>
      <c r="G75" s="19">
        <v>-5865.330936704343</v>
      </c>
      <c r="H75" s="19">
        <v>-5445.4073776351943</v>
      </c>
      <c r="I75" s="19">
        <v>-5010.5484170997279</v>
      </c>
      <c r="J75" s="19">
        <v>-4560.222848376764</v>
      </c>
      <c r="K75" s="19">
        <v>-4093.8805713406646</v>
      </c>
      <c r="L75" s="19">
        <v>-3610.9519204805051</v>
      </c>
      <c r="M75" s="19">
        <v>-3110.8469690189409</v>
      </c>
      <c r="N75" s="19">
        <v>-2592.9548082806959</v>
      </c>
      <c r="O75" s="19">
        <v>-2056.6428014303883</v>
      </c>
      <c r="P75" s="19">
        <v>-1501.2558106680758</v>
      </c>
      <c r="Q75" s="19">
        <v>-926.11539693851557</v>
      </c>
      <c r="R75" s="19">
        <v>-330.51899117651078</v>
      </c>
      <c r="S75" s="38">
        <f>-SUM(D75:R75)</f>
        <v>59078.446330049162</v>
      </c>
    </row>
    <row r="76" spans="3:19" s="38" customFormat="1" ht="12.75" hidden="1" customHeight="1">
      <c r="C76" s="1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</row>
    <row r="77" spans="3:19" s="38" customFormat="1" ht="12.75" hidden="1" customHeight="1">
      <c r="C77" s="1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</row>
    <row r="78" spans="3:19" s="38" customFormat="1" ht="12.75" customHeight="1">
      <c r="C78" s="1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8">
        <f>-SUM(D78:R78)</f>
        <v>0</v>
      </c>
    </row>
    <row r="79" spans="3:19" s="38" customFormat="1" ht="12.75" customHeight="1">
      <c r="C79" s="47" t="s">
        <v>38</v>
      </c>
      <c r="D79" s="27">
        <f t="shared" ref="D79:R79" si="14">SUM(D73:D78)</f>
        <v>189.06865705407836</v>
      </c>
      <c r="E79" s="27">
        <f t="shared" si="14"/>
        <v>686.1379185723481</v>
      </c>
      <c r="F79" s="27">
        <f t="shared" si="14"/>
        <v>898.44010347471612</v>
      </c>
      <c r="G79" s="27">
        <f t="shared" si="14"/>
        <v>1426.4803056956544</v>
      </c>
      <c r="H79" s="27">
        <f t="shared" si="14"/>
        <v>1970.7810334008027</v>
      </c>
      <c r="I79" s="27">
        <f t="shared" si="14"/>
        <v>2531.8828201018077</v>
      </c>
      <c r="J79" s="27">
        <f t="shared" si="14"/>
        <v>3110.3448573827945</v>
      </c>
      <c r="K79" s="27">
        <f t="shared" si="14"/>
        <v>3706.7456500052858</v>
      </c>
      <c r="L79" s="27">
        <f t="shared" si="14"/>
        <v>4321.6836941856327</v>
      </c>
      <c r="M79" s="27">
        <f t="shared" si="14"/>
        <v>4955.7781798671876</v>
      </c>
      <c r="N79" s="27">
        <f t="shared" si="14"/>
        <v>5609.669717838724</v>
      </c>
      <c r="O79" s="27">
        <f t="shared" si="14"/>
        <v>6284.0210925808215</v>
      </c>
      <c r="P79" s="27">
        <f t="shared" si="14"/>
        <v>6979.5180417533011</v>
      </c>
      <c r="Q79" s="27">
        <f t="shared" si="14"/>
        <v>7696.8700632691798</v>
      </c>
      <c r="R79" s="27">
        <f t="shared" si="14"/>
        <v>8436.8112509343009</v>
      </c>
    </row>
    <row r="80" spans="3:19" s="38" customFormat="1"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</row>
    <row r="81" spans="3:18" s="38" customFormat="1"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</row>
    <row r="82" spans="3:18" s="38" customFormat="1"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</row>
    <row r="83" spans="3:18" s="38" customFormat="1">
      <c r="C83" s="7" t="s">
        <v>52</v>
      </c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</row>
    <row r="84" spans="3:18" s="38" customFormat="1">
      <c r="C84" s="48" t="s">
        <v>7</v>
      </c>
      <c r="D84" s="49">
        <v>1</v>
      </c>
      <c r="E84" s="49">
        <f>+D84+1</f>
        <v>2</v>
      </c>
      <c r="F84" s="49">
        <f t="shared" ref="F84:R84" si="15">+E84+1</f>
        <v>3</v>
      </c>
      <c r="G84" s="49">
        <f t="shared" si="15"/>
        <v>4</v>
      </c>
      <c r="H84" s="49">
        <f t="shared" si="15"/>
        <v>5</v>
      </c>
      <c r="I84" s="49">
        <f t="shared" si="15"/>
        <v>6</v>
      </c>
      <c r="J84" s="49">
        <f t="shared" si="15"/>
        <v>7</v>
      </c>
      <c r="K84" s="49">
        <f t="shared" si="15"/>
        <v>8</v>
      </c>
      <c r="L84" s="49">
        <f t="shared" si="15"/>
        <v>9</v>
      </c>
      <c r="M84" s="49">
        <f t="shared" si="15"/>
        <v>10</v>
      </c>
      <c r="N84" s="49">
        <f t="shared" si="15"/>
        <v>11</v>
      </c>
      <c r="O84" s="49">
        <f t="shared" si="15"/>
        <v>12</v>
      </c>
      <c r="P84" s="49">
        <f t="shared" si="15"/>
        <v>13</v>
      </c>
      <c r="Q84" s="49">
        <f t="shared" si="15"/>
        <v>14</v>
      </c>
      <c r="R84" s="49">
        <f t="shared" si="15"/>
        <v>15</v>
      </c>
    </row>
    <row r="85" spans="3:18" s="38" customFormat="1">
      <c r="C85" s="37" t="s">
        <v>32</v>
      </c>
      <c r="D85" s="21">
        <f>-E20*1000</f>
        <v>0</v>
      </c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</row>
    <row r="86" spans="3:18" s="38" customFormat="1">
      <c r="C86" s="1" t="s">
        <v>33</v>
      </c>
      <c r="D86" s="19">
        <f>+D69</f>
        <v>-6556.6829595210274</v>
      </c>
      <c r="E86" s="19">
        <f t="shared" ref="E86:R86" si="16">+E69</f>
        <v>-6738.4658627395811</v>
      </c>
      <c r="F86" s="19">
        <f t="shared" si="16"/>
        <v>-7046.1805246055146</v>
      </c>
      <c r="G86" s="19">
        <f t="shared" si="16"/>
        <v>-7243.1057645491819</v>
      </c>
      <c r="H86" s="19">
        <f t="shared" si="16"/>
        <v>-7448.0305361747969</v>
      </c>
      <c r="I86" s="19">
        <f t="shared" si="16"/>
        <v>-7661.2542909633667</v>
      </c>
      <c r="J86" s="19">
        <f t="shared" si="16"/>
        <v>-7883.0873549603402</v>
      </c>
      <c r="K86" s="19">
        <f t="shared" si="16"/>
        <v>-8113.8513189105561</v>
      </c>
      <c r="L86" s="19">
        <f t="shared" si="16"/>
        <v>-8353.8794423194777</v>
      </c>
      <c r="M86" s="19">
        <f t="shared" si="16"/>
        <v>-12603.517071936829</v>
      </c>
      <c r="N86" s="19">
        <f t="shared" si="16"/>
        <v>-12863.122075176318</v>
      </c>
      <c r="O86" s="19">
        <f t="shared" si="16"/>
        <v>-13133.065289003496</v>
      </c>
      <c r="P86" s="19">
        <f t="shared" si="16"/>
        <v>-13413.730984842679</v>
      </c>
      <c r="Q86" s="19">
        <f t="shared" si="16"/>
        <v>-13705.517350073467</v>
      </c>
      <c r="R86" s="19">
        <f t="shared" si="16"/>
        <v>-14008.836986707749</v>
      </c>
    </row>
    <row r="87" spans="3:18" s="38" customFormat="1" hidden="1">
      <c r="C87" s="1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</row>
    <row r="88" spans="3:18" s="38" customFormat="1" hidden="1">
      <c r="C88" s="1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</row>
    <row r="89" spans="3:18" s="38" customFormat="1" hidden="1">
      <c r="C89" s="1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</row>
    <row r="90" spans="3:18" s="38" customFormat="1" hidden="1">
      <c r="C90" s="1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</row>
    <row r="91" spans="3:18" s="38" customFormat="1">
      <c r="C91" s="1" t="s">
        <v>34</v>
      </c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>
        <f>+E10*1000</f>
        <v>200000</v>
      </c>
    </row>
    <row r="92" spans="3:18" s="38" customFormat="1">
      <c r="C92" s="39"/>
      <c r="D92" s="41">
        <f t="shared" ref="D92:R92" si="17">SUM(D85:D91)</f>
        <v>-6556.6829595210274</v>
      </c>
      <c r="E92" s="41">
        <f t="shared" si="17"/>
        <v>-6738.4658627395811</v>
      </c>
      <c r="F92" s="41">
        <f t="shared" si="17"/>
        <v>-7046.1805246055146</v>
      </c>
      <c r="G92" s="41">
        <f t="shared" si="17"/>
        <v>-7243.1057645491819</v>
      </c>
      <c r="H92" s="41">
        <f t="shared" si="17"/>
        <v>-7448.0305361747969</v>
      </c>
      <c r="I92" s="41">
        <f t="shared" si="17"/>
        <v>-7661.2542909633667</v>
      </c>
      <c r="J92" s="41">
        <f t="shared" si="17"/>
        <v>-7883.0873549603402</v>
      </c>
      <c r="K92" s="41">
        <f t="shared" si="17"/>
        <v>-8113.8513189105561</v>
      </c>
      <c r="L92" s="41">
        <f t="shared" si="17"/>
        <v>-8353.8794423194777</v>
      </c>
      <c r="M92" s="41">
        <f t="shared" si="17"/>
        <v>-12603.517071936829</v>
      </c>
      <c r="N92" s="41">
        <f t="shared" si="17"/>
        <v>-12863.122075176318</v>
      </c>
      <c r="O92" s="41">
        <f t="shared" si="17"/>
        <v>-13133.065289003496</v>
      </c>
      <c r="P92" s="41">
        <f t="shared" si="17"/>
        <v>-13413.730984842679</v>
      </c>
      <c r="Q92" s="41">
        <f t="shared" si="17"/>
        <v>-13705.517350073467</v>
      </c>
      <c r="R92" s="41">
        <f t="shared" si="17"/>
        <v>185991.16301329224</v>
      </c>
    </row>
    <row r="93" spans="3:18"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</row>
    <row r="94" spans="3:18">
      <c r="C94" s="51" t="s">
        <v>35</v>
      </c>
      <c r="D94" s="52">
        <f>IRR(D92:R92)</f>
        <v>5.0690676716385046E-2</v>
      </c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</row>
  </sheetData>
  <phoneticPr fontId="4" type="noConversion"/>
  <pageMargins left="0" right="0" top="0.39370078740157483" bottom="0.39370078740157483" header="0.51181102362204722" footer="0.51181102362204722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4" sqref="I34"/>
    </sheetView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DENOS Pascal</cp:lastModifiedBy>
  <cp:lastPrinted>2006-03-23T18:58:04Z</cp:lastPrinted>
  <dcterms:created xsi:type="dcterms:W3CDTF">1999-05-11T15:39:34Z</dcterms:created>
  <dcterms:modified xsi:type="dcterms:W3CDTF">2013-06-25T08:56:45Z</dcterms:modified>
</cp:coreProperties>
</file>