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85" yWindow="15" windowWidth="7680" windowHeight="8250"/>
  </bookViews>
  <sheets>
    <sheet name="Feuil1" sheetId="5" r:id="rId1"/>
    <sheet name="Feuil2" sheetId="9" r:id="rId2"/>
    <sheet name="Feuil3" sheetId="10" r:id="rId3"/>
    <sheet name="Feuil4" sheetId="8" r:id="rId4"/>
    <sheet name="Feuil5" sheetId="7" r:id="rId5"/>
    <sheet name="Feuil6" sheetId="6" r:id="rId6"/>
    <sheet name="Feuil7" sheetId="4" r:id="rId7"/>
  </sheets>
  <calcPr calcId="124519"/>
</workbook>
</file>

<file path=xl/calcChain.xml><?xml version="1.0" encoding="utf-8"?>
<calcChain xmlns="http://schemas.openxmlformats.org/spreadsheetml/2006/main">
  <c r="C14" i="4"/>
  <c r="D14"/>
  <c r="E14"/>
  <c r="F14"/>
  <c r="G14"/>
  <c r="H14"/>
  <c r="C15"/>
  <c r="D15"/>
  <c r="E15"/>
  <c r="F15"/>
  <c r="G15"/>
  <c r="H15"/>
  <c r="C16"/>
  <c r="D16"/>
  <c r="E16"/>
  <c r="F16"/>
  <c r="G16"/>
  <c r="H16"/>
  <c r="C17"/>
  <c r="D17"/>
  <c r="E17"/>
  <c r="F17"/>
  <c r="G17"/>
  <c r="H17"/>
  <c r="Q3"/>
  <c r="Q2"/>
  <c r="Q1"/>
  <c r="C10"/>
  <c r="C12"/>
  <c r="C11"/>
  <c r="C9"/>
  <c r="G12"/>
  <c r="F12"/>
  <c r="E12"/>
  <c r="D12"/>
  <c r="G11"/>
  <c r="F11"/>
  <c r="E11"/>
  <c r="D9"/>
  <c r="E9"/>
  <c r="F9"/>
  <c r="G9"/>
  <c r="M11" i="6"/>
  <c r="M10"/>
  <c r="M8"/>
  <c r="M7"/>
  <c r="B16"/>
  <c r="B13"/>
  <c r="B12"/>
  <c r="B10"/>
  <c r="B7"/>
  <c r="A7"/>
  <c r="AA5" i="7"/>
  <c r="Y7"/>
  <c r="Y8"/>
  <c r="V7"/>
  <c r="V8" s="1"/>
  <c r="S8"/>
  <c r="S4"/>
  <c r="P8"/>
  <c r="P4"/>
  <c r="C7"/>
  <c r="M11"/>
  <c r="M10"/>
  <c r="M5"/>
  <c r="M8" s="1"/>
  <c r="J5"/>
  <c r="J8" s="1"/>
  <c r="B5"/>
  <c r="D23" i="8"/>
  <c r="E23"/>
  <c r="F23"/>
  <c r="D24"/>
  <c r="E24"/>
  <c r="F24"/>
  <c r="D25"/>
  <c r="E25"/>
  <c r="F25"/>
  <c r="D26"/>
  <c r="E26"/>
  <c r="F26"/>
  <c r="D27"/>
  <c r="E27"/>
  <c r="F27"/>
  <c r="D28"/>
  <c r="E28"/>
  <c r="F28"/>
  <c r="D29"/>
  <c r="E29"/>
  <c r="F29"/>
  <c r="D30"/>
  <c r="E30"/>
  <c r="F30"/>
  <c r="D31"/>
  <c r="E31"/>
  <c r="F31"/>
  <c r="D32"/>
  <c r="E32"/>
  <c r="F32"/>
  <c r="D33"/>
  <c r="E33"/>
  <c r="F33"/>
  <c r="D34"/>
  <c r="E34"/>
  <c r="F34"/>
  <c r="D35"/>
  <c r="E35"/>
  <c r="F35"/>
  <c r="D36"/>
  <c r="E36"/>
  <c r="F36"/>
  <c r="D37"/>
  <c r="E37"/>
  <c r="F37"/>
  <c r="D38"/>
  <c r="E38"/>
  <c r="F38"/>
  <c r="D39"/>
  <c r="E39"/>
  <c r="F39"/>
  <c r="D40"/>
  <c r="E40"/>
  <c r="F40"/>
  <c r="D41"/>
  <c r="E41"/>
  <c r="F41"/>
  <c r="D42"/>
  <c r="E42"/>
  <c r="F42"/>
  <c r="D43"/>
  <c r="E43"/>
  <c r="F43"/>
  <c r="D44"/>
  <c r="E44"/>
  <c r="F44"/>
  <c r="D45"/>
  <c r="E45"/>
  <c r="F45"/>
  <c r="D46"/>
  <c r="E46"/>
  <c r="F46"/>
  <c r="D47"/>
  <c r="E47"/>
  <c r="F47"/>
  <c r="D48"/>
  <c r="E48"/>
  <c r="F48"/>
  <c r="D49"/>
  <c r="E49"/>
  <c r="F49"/>
  <c r="D50"/>
  <c r="E50"/>
  <c r="F50"/>
  <c r="D51"/>
  <c r="E51"/>
  <c r="F51"/>
  <c r="D52"/>
  <c r="E52"/>
  <c r="F52"/>
  <c r="D53"/>
  <c r="E53"/>
  <c r="F53"/>
  <c r="D54"/>
  <c r="E54"/>
  <c r="F54"/>
  <c r="D55"/>
  <c r="E55"/>
  <c r="F55"/>
  <c r="D56"/>
  <c r="E56"/>
  <c r="F56"/>
  <c r="D57"/>
  <c r="E57"/>
  <c r="F57"/>
  <c r="E22"/>
  <c r="D22"/>
  <c r="F22" s="1"/>
  <c r="C22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19"/>
  <c r="C18"/>
  <c r="J9" i="10"/>
  <c r="J14"/>
  <c r="K13"/>
  <c r="J10"/>
  <c r="I13" s="1"/>
  <c r="H14" s="1"/>
  <c r="K14" s="1"/>
  <c r="J15" s="1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C14"/>
  <c r="D14"/>
  <c r="E14"/>
  <c r="C15"/>
  <c r="D15"/>
  <c r="E15"/>
  <c r="C16"/>
  <c r="D16"/>
  <c r="E16"/>
  <c r="C17"/>
  <c r="D17"/>
  <c r="E17"/>
  <c r="C18"/>
  <c r="D18"/>
  <c r="E18"/>
  <c r="C19"/>
  <c r="D19"/>
  <c r="E19"/>
  <c r="C20"/>
  <c r="D20"/>
  <c r="E20"/>
  <c r="C21"/>
  <c r="D21"/>
  <c r="E21"/>
  <c r="C22"/>
  <c r="D22"/>
  <c r="E22"/>
  <c r="C23"/>
  <c r="D23"/>
  <c r="E23"/>
  <c r="C24"/>
  <c r="D24"/>
  <c r="E24"/>
  <c r="C25"/>
  <c r="D25"/>
  <c r="E25"/>
  <c r="C26"/>
  <c r="D26"/>
  <c r="E26"/>
  <c r="C27"/>
  <c r="D27"/>
  <c r="E27"/>
  <c r="C28"/>
  <c r="D28"/>
  <c r="E28"/>
  <c r="C29"/>
  <c r="D29"/>
  <c r="E29"/>
  <c r="C30"/>
  <c r="D30"/>
  <c r="E30"/>
  <c r="C31"/>
  <c r="D31"/>
  <c r="E31"/>
  <c r="C32"/>
  <c r="D32"/>
  <c r="E32"/>
  <c r="C33"/>
  <c r="D33"/>
  <c r="E33"/>
  <c r="C34"/>
  <c r="D34"/>
  <c r="E34"/>
  <c r="C35"/>
  <c r="D35"/>
  <c r="E35"/>
  <c r="C36"/>
  <c r="D36"/>
  <c r="E36"/>
  <c r="C37"/>
  <c r="D37"/>
  <c r="E37"/>
  <c r="C38"/>
  <c r="D38"/>
  <c r="E38"/>
  <c r="C39"/>
  <c r="D39"/>
  <c r="E39"/>
  <c r="C40"/>
  <c r="D40"/>
  <c r="E40"/>
  <c r="C41"/>
  <c r="D41"/>
  <c r="E41"/>
  <c r="C42"/>
  <c r="D42"/>
  <c r="E42"/>
  <c r="C43"/>
  <c r="D43"/>
  <c r="E43"/>
  <c r="C44"/>
  <c r="D44"/>
  <c r="E44"/>
  <c r="C45"/>
  <c r="D45"/>
  <c r="E45"/>
  <c r="C46"/>
  <c r="D46"/>
  <c r="E46"/>
  <c r="C47"/>
  <c r="D47"/>
  <c r="E47"/>
  <c r="C48"/>
  <c r="D48"/>
  <c r="E48"/>
  <c r="C49"/>
  <c r="D49"/>
  <c r="E49"/>
  <c r="B14"/>
  <c r="E13"/>
  <c r="D13"/>
  <c r="C13"/>
  <c r="E3"/>
  <c r="B13"/>
  <c r="B4"/>
  <c r="B8" s="1"/>
  <c r="F13" i="9"/>
  <c r="B13"/>
  <c r="B8"/>
  <c r="F3"/>
  <c r="F8" s="1"/>
  <c r="B25" i="5"/>
  <c r="C24"/>
  <c r="F3"/>
  <c r="G13" s="1"/>
  <c r="F14" s="1"/>
  <c r="B8"/>
  <c r="F8"/>
  <c r="B13"/>
  <c r="F13"/>
  <c r="B6" i="8"/>
  <c r="D6" s="1"/>
  <c r="B7"/>
  <c r="D7" s="1"/>
  <c r="B8"/>
  <c r="D8" s="1"/>
  <c r="B9"/>
  <c r="D9" s="1"/>
  <c r="B10"/>
  <c r="D10" s="1"/>
  <c r="B11"/>
  <c r="D11" s="1"/>
  <c r="B12"/>
  <c r="D12" s="1"/>
  <c r="B5"/>
  <c r="D5" s="1"/>
  <c r="B7" i="7"/>
  <c r="C3" i="6"/>
  <c r="C7" l="1"/>
  <c r="D10" i="7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C12" i="8"/>
  <c r="C11"/>
  <c r="C10"/>
  <c r="C9"/>
  <c r="C8"/>
  <c r="C7"/>
  <c r="C6"/>
  <c r="G12"/>
  <c r="F12"/>
  <c r="E12"/>
  <c r="G11"/>
  <c r="F11"/>
  <c r="E11"/>
  <c r="G10"/>
  <c r="F10"/>
  <c r="E10"/>
  <c r="G9"/>
  <c r="F9"/>
  <c r="E9"/>
  <c r="G8"/>
  <c r="F8"/>
  <c r="E8"/>
  <c r="G7"/>
  <c r="F7"/>
  <c r="E7"/>
  <c r="G6"/>
  <c r="F6"/>
  <c r="E6"/>
  <c r="G5"/>
  <c r="F5"/>
  <c r="E5"/>
  <c r="C5"/>
  <c r="I14" i="10"/>
  <c r="H15"/>
  <c r="K15" s="1"/>
  <c r="J16" s="1"/>
  <c r="G13" i="9"/>
  <c r="F14" s="1"/>
  <c r="C24"/>
  <c r="B25" s="1"/>
  <c r="G14" i="5"/>
  <c r="F15" s="1"/>
  <c r="D3" i="6"/>
  <c r="D11" i="4"/>
  <c r="D10"/>
  <c r="E10" s="1"/>
  <c r="F10" s="1"/>
  <c r="G10" s="1"/>
  <c r="E3" i="6" l="1"/>
  <c r="D7"/>
  <c r="I15" i="10"/>
  <c r="H16"/>
  <c r="G14" i="9"/>
  <c r="F15" s="1"/>
  <c r="G15" i="5"/>
  <c r="F16" s="1"/>
  <c r="D311" i="7"/>
  <c r="C311"/>
  <c r="B311"/>
  <c r="F3" i="6" l="1"/>
  <c r="E7"/>
  <c r="I16" i="10"/>
  <c r="H17" s="1"/>
  <c r="K17" s="1"/>
  <c r="K16"/>
  <c r="J17" s="1"/>
  <c r="J18" s="1"/>
  <c r="I17"/>
  <c r="H18"/>
  <c r="K18" s="1"/>
  <c r="G15" i="9"/>
  <c r="F16" s="1"/>
  <c r="G16" i="5"/>
  <c r="F17" s="1"/>
  <c r="F7" i="6" l="1"/>
  <c r="B14"/>
  <c r="B15" s="1"/>
  <c r="J19" i="10"/>
  <c r="I18"/>
  <c r="H19"/>
  <c r="K19" s="1"/>
  <c r="G16" i="9"/>
  <c r="F17" s="1"/>
  <c r="G17" i="5"/>
  <c r="F18" s="1"/>
  <c r="J20" i="10" l="1"/>
  <c r="I19"/>
  <c r="H20"/>
  <c r="K20" s="1"/>
  <c r="G17" i="9"/>
  <c r="F18" s="1"/>
  <c r="G18" i="5"/>
  <c r="F19" s="1"/>
  <c r="J21" i="10" l="1"/>
  <c r="I20"/>
  <c r="H21"/>
  <c r="K21" s="1"/>
  <c r="G18" i="9"/>
  <c r="F19" s="1"/>
  <c r="G19" i="5"/>
  <c r="F20" s="1"/>
  <c r="J22" i="10" l="1"/>
  <c r="I21"/>
  <c r="H22"/>
  <c r="K22" s="1"/>
  <c r="G19" i="9"/>
  <c r="F20" s="1"/>
  <c r="G20" i="5"/>
  <c r="F21" s="1"/>
  <c r="J23" i="10" l="1"/>
  <c r="I22"/>
  <c r="H23"/>
  <c r="K23" s="1"/>
  <c r="G20" i="9"/>
  <c r="F21" s="1"/>
  <c r="G21" i="5"/>
  <c r="F22" s="1"/>
  <c r="J24" i="10" l="1"/>
  <c r="I23"/>
  <c r="H24"/>
  <c r="K24" s="1"/>
  <c r="G21" i="9"/>
  <c r="F22" s="1"/>
  <c r="G22" i="5"/>
  <c r="F23" s="1"/>
  <c r="J25" i="10" l="1"/>
  <c r="I24"/>
  <c r="H25"/>
  <c r="G22" i="9"/>
  <c r="F23" s="1"/>
  <c r="G23" i="5"/>
  <c r="F24" s="1"/>
  <c r="G23" i="9" l="1"/>
  <c r="F24" s="1"/>
  <c r="G24" i="5"/>
  <c r="F25" s="1"/>
  <c r="G24" i="9" l="1"/>
  <c r="F25" l="1"/>
  <c r="G25"/>
  <c r="F26" l="1"/>
  <c r="G26"/>
  <c r="F27" l="1"/>
  <c r="G27"/>
  <c r="F28" l="1"/>
  <c r="G28"/>
  <c r="F29" l="1"/>
  <c r="G29"/>
  <c r="F30" l="1"/>
  <c r="G30"/>
  <c r="F31" l="1"/>
  <c r="G31"/>
  <c r="F32" l="1"/>
  <c r="G32"/>
  <c r="F33" l="1"/>
  <c r="G33"/>
  <c r="F34" l="1"/>
  <c r="G34"/>
  <c r="F35" l="1"/>
  <c r="G35"/>
  <c r="F36" l="1"/>
  <c r="G36"/>
  <c r="F37" l="1"/>
</calcChain>
</file>

<file path=xl/sharedStrings.xml><?xml version="1.0" encoding="utf-8"?>
<sst xmlns="http://schemas.openxmlformats.org/spreadsheetml/2006/main" count="209" uniqueCount="131">
  <si>
    <t xml:space="preserve">SYD() </t>
  </si>
  <si>
    <t>Sum of years digits</t>
  </si>
  <si>
    <t xml:space="preserve">DDB() </t>
  </si>
  <si>
    <t>Double declining balance</t>
  </si>
  <si>
    <t xml:space="preserve">DB() </t>
  </si>
  <si>
    <t>Declining balance</t>
  </si>
  <si>
    <t>Durée de l'investissement</t>
  </si>
  <si>
    <t>Nombre de versements par an</t>
  </si>
  <si>
    <t>Montant de l'investissement</t>
  </si>
  <si>
    <t>Versements intermédiaires</t>
  </si>
  <si>
    <t>Valeur future</t>
  </si>
  <si>
    <t>Valeur future de l'investissement</t>
  </si>
  <si>
    <t>Emprunt</t>
  </si>
  <si>
    <t>Durée (années)</t>
  </si>
  <si>
    <t>Nombre de mensualités</t>
  </si>
  <si>
    <t>Location d'une maison</t>
  </si>
  <si>
    <t>Suivi du calcul des intérêts</t>
  </si>
  <si>
    <t>Intérêts versés mensuellement</t>
  </si>
  <si>
    <t>Intérêts versés annuellement</t>
  </si>
  <si>
    <t>Base de calcul</t>
  </si>
  <si>
    <t>Intérêts en fin de période</t>
  </si>
  <si>
    <t>Base de calcul en début de période</t>
  </si>
  <si>
    <t>Taux d'intérêt annuel</t>
  </si>
  <si>
    <t>Taux d'intérêt mensuel</t>
  </si>
  <si>
    <t>=VC(E3;E5;-$E$6;-$E$2)</t>
  </si>
  <si>
    <t>=VC(B3;B5;0;-B2)</t>
  </si>
  <si>
    <t>=(1+B3)^(1/E5)-1</t>
  </si>
  <si>
    <t>=B13*B3</t>
  </si>
  <si>
    <t>=B13+C24</t>
  </si>
  <si>
    <t>=F13*$E$3</t>
  </si>
  <si>
    <t>=F14*$E$3</t>
  </si>
  <si>
    <t>=F24+G24</t>
  </si>
  <si>
    <t>=VC(F3;F4*F5;-$F$6;-$F$2)</t>
  </si>
  <si>
    <t>Montant emprunté</t>
  </si>
  <si>
    <t>Bilan après</t>
  </si>
  <si>
    <t>périodes</t>
  </si>
  <si>
    <t>Mensualité constante</t>
  </si>
  <si>
    <t>VC(B4;B5;-$B$6;$B$2)</t>
  </si>
  <si>
    <t>Suivi de l'emprunt</t>
  </si>
  <si>
    <t>Principal remboursé</t>
  </si>
  <si>
    <t>Intérêts</t>
  </si>
  <si>
    <t>Durée :</t>
  </si>
  <si>
    <t>Mensualité</t>
  </si>
  <si>
    <t>Emprunt - Bilan principal à rembourser après 3 ans</t>
  </si>
  <si>
    <t>Taux nominal annuel</t>
  </si>
  <si>
    <t>Taux effectif</t>
  </si>
  <si>
    <t>Taux mensuel</t>
  </si>
  <si>
    <t>Taux annuel</t>
  </si>
  <si>
    <t>Quel montant emprunter ?</t>
  </si>
  <si>
    <t>Durée</t>
  </si>
  <si>
    <t>Montant à emprunter aujourd'hui</t>
  </si>
  <si>
    <t>Période</t>
  </si>
  <si>
    <t>Mensualité constante (VPM)</t>
  </si>
  <si>
    <t>Intérêts de la période (INTPER)</t>
  </si>
  <si>
    <t>Principal de la période (PRINCPER)</t>
  </si>
  <si>
    <t>Investissement</t>
  </si>
  <si>
    <t>Mise de fonds de départ</t>
  </si>
  <si>
    <t>Valeur capitalisée promise</t>
  </si>
  <si>
    <t>Durée (en années)</t>
  </si>
  <si>
    <t>Montant de l'emprunt</t>
  </si>
  <si>
    <t>taux annuel</t>
  </si>
  <si>
    <t>Total</t>
  </si>
  <si>
    <t>Principal période 1</t>
  </si>
  <si>
    <t>Principal période 60</t>
  </si>
  <si>
    <t>vpm</t>
  </si>
  <si>
    <t>vc</t>
  </si>
  <si>
    <t>va</t>
  </si>
  <si>
    <t>taux mensuel</t>
  </si>
  <si>
    <t>Nombre de périodes nécessaires</t>
  </si>
  <si>
    <t>Durée d'un placement</t>
  </si>
  <si>
    <t>Durée d'un emprunt</t>
  </si>
  <si>
    <t>Taux d'un placement</t>
  </si>
  <si>
    <t>Taux mensuel de ce placement</t>
  </si>
  <si>
    <t>Taux annuel de ce placement</t>
  </si>
  <si>
    <t>Taux d'un emprunt</t>
  </si>
  <si>
    <t>Salon de thé</t>
  </si>
  <si>
    <t>Bénéfice année 1</t>
  </si>
  <si>
    <t>Bénéfice année 2</t>
  </si>
  <si>
    <t>Bénéfice année 3</t>
  </si>
  <si>
    <t>Bénéfice année 4</t>
  </si>
  <si>
    <t>Total bénéfices</t>
  </si>
  <si>
    <t>Bénéfice net</t>
  </si>
  <si>
    <t>VAN</t>
  </si>
  <si>
    <t>Plus value globale</t>
  </si>
  <si>
    <t>Loyers année 1</t>
  </si>
  <si>
    <t>Loyers année 2</t>
  </si>
  <si>
    <t>Loyers année 3</t>
  </si>
  <si>
    <t>Loyers année 4</t>
  </si>
  <si>
    <t>Loyers année 5</t>
  </si>
  <si>
    <t>Achat de la maison année 0</t>
  </si>
  <si>
    <t>Vente de la maison année 5</t>
  </si>
  <si>
    <t>TRI</t>
  </si>
  <si>
    <t>Fin année 0</t>
  </si>
  <si>
    <t>Fin année 1</t>
  </si>
  <si>
    <t>Fin année 2</t>
  </si>
  <si>
    <t>Fin année 3</t>
  </si>
  <si>
    <t>Fin année 4</t>
  </si>
  <si>
    <t>Fin année 5</t>
  </si>
  <si>
    <t>Actif</t>
  </si>
  <si>
    <t>Valeur initiale</t>
  </si>
  <si>
    <t>Valeur résiduelle</t>
  </si>
  <si>
    <t>Durée de l'amortissement</t>
  </si>
  <si>
    <t xml:space="preserve">AMORLIN() </t>
  </si>
  <si>
    <t>Amortissement linéaire</t>
  </si>
  <si>
    <t>Valeur nette</t>
  </si>
  <si>
    <t>Après année 1</t>
  </si>
  <si>
    <t>Après année 2</t>
  </si>
  <si>
    <t>Après année 3</t>
  </si>
  <si>
    <t>Après année 4</t>
  </si>
  <si>
    <t>Après année 5</t>
  </si>
  <si>
    <t>Imprimante</t>
  </si>
  <si>
    <t>Flux fin d'année</t>
  </si>
  <si>
    <t>Taux  du marché</t>
  </si>
  <si>
    <t>Valeur actuelle des loyers</t>
  </si>
  <si>
    <t>Valeur actuelle de la vente</t>
  </si>
  <si>
    <t>Valeur actuelle loyers + vente</t>
  </si>
  <si>
    <t>=B12+B13</t>
  </si>
  <si>
    <t>Calculs</t>
  </si>
  <si>
    <t>VAN de l'opération</t>
  </si>
  <si>
    <t>=B14+A3</t>
  </si>
  <si>
    <t>TRI de l'opération</t>
  </si>
  <si>
    <t>Taux du marché</t>
  </si>
  <si>
    <t>=SOMME(B3:F3)+G3+A3</t>
  </si>
  <si>
    <t>=VAN(B11;0;B3:F3)</t>
  </si>
  <si>
    <t>=VAN(5%;0;0;0;0;0;G3)</t>
  </si>
  <si>
    <t>=TRI(A7:F7)</t>
  </si>
  <si>
    <t>=SOMME(M3:M6)</t>
  </si>
  <si>
    <t>=M7+M2</t>
  </si>
  <si>
    <t>=VAN(M9;M2:M6)</t>
  </si>
  <si>
    <t>=TRI(M2:M6)</t>
  </si>
  <si>
    <t>Ordinateur</t>
  </si>
</sst>
</file>

<file path=xl/styles.xml><?xml version="1.0" encoding="utf-8"?>
<styleSheet xmlns="http://schemas.openxmlformats.org/spreadsheetml/2006/main">
  <numFmts count="7">
    <numFmt numFmtId="8" formatCode="#,##0.00\ &quot;€&quot;;[Red]\-#,##0.00\ &quot;€&quot;"/>
    <numFmt numFmtId="164" formatCode="&quot;$&quot;#,##0.00_);[Red]\(&quot;$&quot;#,##0.00\)"/>
    <numFmt numFmtId="165" formatCode="&quot;$&quot;#,##0.00"/>
    <numFmt numFmtId="166" formatCode="0.0000%"/>
    <numFmt numFmtId="167" formatCode="#,##0.00&quot; €&quot;"/>
    <numFmt numFmtId="168" formatCode="#,##0&quot; €&quot;"/>
    <numFmt numFmtId="169" formatCode="#,##0;[Red]#,##0"/>
  </numFmts>
  <fonts count="19">
    <font>
      <sz val="11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4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4"/>
      <name val="Arial"/>
      <family val="2"/>
    </font>
    <font>
      <b/>
      <i/>
      <sz val="10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8"/>
      <name val="Calibri"/>
      <family val="2"/>
      <scheme val="minor"/>
    </font>
    <font>
      <i/>
      <sz val="8"/>
      <name val="Calibri"/>
      <family val="2"/>
      <scheme val="minor"/>
    </font>
    <font>
      <b/>
      <i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8" fillId="0" borderId="0" xfId="1" applyFont="1"/>
    <xf numFmtId="0" fontId="10" fillId="0" borderId="0" xfId="1" applyFont="1"/>
    <xf numFmtId="9" fontId="1" fillId="0" borderId="0" xfId="1" applyNumberFormat="1"/>
    <xf numFmtId="10" fontId="1" fillId="0" borderId="0" xfId="1" applyNumberFormat="1"/>
    <xf numFmtId="167" fontId="7" fillId="0" borderId="0" xfId="1" applyNumberFormat="1" applyFont="1"/>
    <xf numFmtId="0" fontId="1" fillId="0" borderId="0" xfId="1" applyNumberFormat="1"/>
    <xf numFmtId="0" fontId="12" fillId="0" borderId="0" xfId="1" applyFont="1"/>
    <xf numFmtId="8" fontId="1" fillId="0" borderId="0" xfId="1" applyNumberFormat="1"/>
    <xf numFmtId="0" fontId="6" fillId="0" borderId="0" xfId="1" applyFont="1"/>
    <xf numFmtId="0" fontId="5" fillId="0" borderId="0" xfId="1" applyFont="1" applyAlignment="1">
      <alignment horizontal="right"/>
    </xf>
    <xf numFmtId="0" fontId="1" fillId="0" borderId="0" xfId="1" applyAlignment="1">
      <alignment horizontal="right"/>
    </xf>
    <xf numFmtId="167" fontId="1" fillId="0" borderId="11" xfId="1" applyNumberFormat="1" applyBorder="1"/>
    <xf numFmtId="166" fontId="6" fillId="0" borderId="12" xfId="1" applyNumberFormat="1" applyFont="1" applyBorder="1"/>
    <xf numFmtId="0" fontId="1" fillId="0" borderId="12" xfId="1" applyBorder="1"/>
    <xf numFmtId="167" fontId="1" fillId="0" borderId="13" xfId="1" applyNumberFormat="1" applyBorder="1"/>
    <xf numFmtId="166" fontId="1" fillId="0" borderId="12" xfId="1" applyNumberFormat="1" applyBorder="1"/>
    <xf numFmtId="8" fontId="7" fillId="0" borderId="10" xfId="1" applyNumberFormat="1" applyFont="1" applyBorder="1"/>
    <xf numFmtId="167" fontId="7" fillId="0" borderId="10" xfId="1" applyNumberFormat="1" applyFont="1" applyBorder="1"/>
    <xf numFmtId="0" fontId="1" fillId="0" borderId="11" xfId="1" applyBorder="1"/>
    <xf numFmtId="167" fontId="1" fillId="0" borderId="12" xfId="1" applyNumberFormat="1" applyBorder="1"/>
    <xf numFmtId="0" fontId="11" fillId="0" borderId="0" xfId="1" quotePrefix="1" applyFont="1"/>
    <xf numFmtId="166" fontId="11" fillId="0" borderId="0" xfId="1" quotePrefix="1" applyNumberFormat="1" applyFont="1"/>
    <xf numFmtId="0" fontId="13" fillId="0" borderId="11" xfId="1" applyFont="1" applyBorder="1" applyAlignment="1">
      <alignment horizontal="right"/>
    </xf>
    <xf numFmtId="0" fontId="13" fillId="0" borderId="12" xfId="1" applyFont="1" applyBorder="1" applyAlignment="1">
      <alignment horizontal="right"/>
    </xf>
    <xf numFmtId="0" fontId="13" fillId="0" borderId="13" xfId="1" applyFont="1" applyBorder="1" applyAlignment="1">
      <alignment horizontal="right"/>
    </xf>
    <xf numFmtId="0" fontId="14" fillId="0" borderId="10" xfId="1" applyFont="1" applyBorder="1" applyAlignment="1">
      <alignment horizontal="right"/>
    </xf>
    <xf numFmtId="0" fontId="15" fillId="3" borderId="10" xfId="1" applyFont="1" applyFill="1" applyBorder="1" applyAlignment="1">
      <alignment horizontal="center" vertical="center" wrapText="1"/>
    </xf>
    <xf numFmtId="0" fontId="1" fillId="0" borderId="10" xfId="1" applyBorder="1"/>
    <xf numFmtId="0" fontId="1" fillId="0" borderId="11" xfId="1" applyBorder="1" applyAlignment="1">
      <alignment horizontal="center"/>
    </xf>
    <xf numFmtId="0" fontId="1" fillId="0" borderId="12" xfId="1" applyBorder="1" applyAlignment="1">
      <alignment horizontal="center"/>
    </xf>
    <xf numFmtId="0" fontId="1" fillId="0" borderId="10" xfId="1" applyBorder="1" applyAlignment="1">
      <alignment horizontal="center"/>
    </xf>
    <xf numFmtId="0" fontId="1" fillId="0" borderId="13" xfId="1" applyBorder="1" applyAlignment="1">
      <alignment horizontal="center"/>
    </xf>
    <xf numFmtId="167" fontId="1" fillId="0" borderId="10" xfId="1" applyNumberFormat="1" applyBorder="1"/>
    <xf numFmtId="0" fontId="13" fillId="0" borderId="0" xfId="1" applyFont="1"/>
    <xf numFmtId="10" fontId="1" fillId="0" borderId="12" xfId="1" applyNumberFormat="1" applyBorder="1"/>
    <xf numFmtId="4" fontId="1" fillId="0" borderId="1" xfId="1" applyNumberFormat="1" applyBorder="1"/>
    <xf numFmtId="4" fontId="1" fillId="0" borderId="2" xfId="1" applyNumberFormat="1" applyBorder="1"/>
    <xf numFmtId="4" fontId="1" fillId="0" borderId="3" xfId="1" applyNumberFormat="1" applyBorder="1"/>
    <xf numFmtId="4" fontId="1" fillId="0" borderId="4" xfId="1" applyNumberFormat="1" applyBorder="1"/>
    <xf numFmtId="4" fontId="1" fillId="0" borderId="5" xfId="1" applyNumberFormat="1" applyBorder="1"/>
    <xf numFmtId="0" fontId="1" fillId="0" borderId="6" xfId="1" applyBorder="1"/>
    <xf numFmtId="8" fontId="2" fillId="0" borderId="0" xfId="1" applyNumberFormat="1" applyFont="1"/>
    <xf numFmtId="0" fontId="7" fillId="0" borderId="0" xfId="1" applyFont="1" applyAlignment="1">
      <alignment vertical="center"/>
    </xf>
    <xf numFmtId="0" fontId="1" fillId="0" borderId="0" xfId="1" applyAlignment="1">
      <alignment vertical="center"/>
    </xf>
    <xf numFmtId="167" fontId="1" fillId="0" borderId="11" xfId="1" applyNumberFormat="1" applyBorder="1" applyAlignment="1">
      <alignment vertical="center"/>
    </xf>
    <xf numFmtId="167" fontId="1" fillId="0" borderId="12" xfId="1" applyNumberFormat="1" applyBorder="1" applyAlignment="1">
      <alignment vertical="center"/>
    </xf>
    <xf numFmtId="167" fontId="1" fillId="0" borderId="13" xfId="1" applyNumberFormat="1" applyBorder="1" applyAlignment="1">
      <alignment vertical="center"/>
    </xf>
    <xf numFmtId="0" fontId="7" fillId="3" borderId="7" xfId="1" applyFont="1" applyFill="1" applyBorder="1" applyAlignment="1">
      <alignment horizontal="centerContinuous" vertical="center"/>
    </xf>
    <xf numFmtId="0" fontId="7" fillId="3" borderId="8" xfId="1" applyFont="1" applyFill="1" applyBorder="1" applyAlignment="1">
      <alignment horizontal="centerContinuous" vertical="center"/>
    </xf>
    <xf numFmtId="0" fontId="7" fillId="3" borderId="9" xfId="1" applyFont="1" applyFill="1" applyBorder="1" applyAlignment="1">
      <alignment horizontal="centerContinuous" vertical="center"/>
    </xf>
    <xf numFmtId="1" fontId="7" fillId="3" borderId="10" xfId="1" applyNumberFormat="1" applyFont="1" applyFill="1" applyBorder="1" applyAlignment="1">
      <alignment horizontal="center" vertical="center"/>
    </xf>
    <xf numFmtId="1" fontId="7" fillId="3" borderId="10" xfId="1" applyNumberFormat="1" applyFont="1" applyFill="1" applyBorder="1" applyAlignment="1">
      <alignment horizontal="center" vertical="center" wrapText="1"/>
    </xf>
    <xf numFmtId="9" fontId="7" fillId="0" borderId="11" xfId="1" applyNumberFormat="1" applyFont="1" applyBorder="1" applyAlignment="1">
      <alignment horizontal="center" vertical="center"/>
    </xf>
    <xf numFmtId="10" fontId="7" fillId="0" borderId="11" xfId="1" applyNumberFormat="1" applyFont="1" applyBorder="1" applyAlignment="1">
      <alignment horizontal="center" vertical="center"/>
    </xf>
    <xf numFmtId="9" fontId="7" fillId="0" borderId="12" xfId="1" applyNumberFormat="1" applyFont="1" applyBorder="1" applyAlignment="1">
      <alignment horizontal="center" vertical="center"/>
    </xf>
    <xf numFmtId="10" fontId="7" fillId="0" borderId="12" xfId="1" applyNumberFormat="1" applyFont="1" applyBorder="1" applyAlignment="1">
      <alignment horizontal="center" vertical="center"/>
    </xf>
    <xf numFmtId="9" fontId="7" fillId="0" borderId="13" xfId="1" applyNumberFormat="1" applyFont="1" applyBorder="1" applyAlignment="1">
      <alignment horizontal="center" vertical="center"/>
    </xf>
    <xf numFmtId="10" fontId="7" fillId="0" borderId="13" xfId="1" applyNumberFormat="1" applyFont="1" applyBorder="1" applyAlignment="1">
      <alignment horizontal="center" vertical="center"/>
    </xf>
    <xf numFmtId="0" fontId="1" fillId="3" borderId="0" xfId="1" applyFill="1" applyAlignment="1">
      <alignment vertical="center"/>
    </xf>
    <xf numFmtId="0" fontId="7" fillId="3" borderId="0" xfId="1" applyFont="1" applyFill="1" applyAlignment="1">
      <alignment horizontal="right" vertical="center"/>
    </xf>
    <xf numFmtId="168" fontId="7" fillId="3" borderId="0" xfId="1" applyNumberFormat="1" applyFont="1" applyFill="1" applyAlignment="1">
      <alignment vertical="center"/>
    </xf>
    <xf numFmtId="9" fontId="1" fillId="0" borderId="0" xfId="1" applyNumberFormat="1" applyAlignment="1">
      <alignment vertical="center"/>
    </xf>
    <xf numFmtId="10" fontId="1" fillId="0" borderId="0" xfId="1" applyNumberFormat="1" applyAlignment="1">
      <alignment vertical="center"/>
    </xf>
    <xf numFmtId="8" fontId="1" fillId="0" borderId="0" xfId="1" applyNumberFormat="1" applyAlignment="1">
      <alignment vertical="center"/>
    </xf>
    <xf numFmtId="0" fontId="14" fillId="0" borderId="0" xfId="1" applyFont="1" applyAlignment="1">
      <alignment horizontal="right" vertical="center"/>
    </xf>
    <xf numFmtId="8" fontId="1" fillId="0" borderId="11" xfId="1" applyNumberFormat="1" applyBorder="1" applyAlignment="1">
      <alignment vertical="center"/>
    </xf>
    <xf numFmtId="8" fontId="1" fillId="0" borderId="12" xfId="1" applyNumberFormat="1" applyBorder="1" applyAlignment="1">
      <alignment vertical="center"/>
    </xf>
    <xf numFmtId="8" fontId="1" fillId="0" borderId="13" xfId="1" applyNumberFormat="1" applyBorder="1" applyAlignment="1">
      <alignment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13" fillId="0" borderId="0" xfId="1" applyFont="1" applyAlignment="1">
      <alignment horizontal="right"/>
    </xf>
    <xf numFmtId="0" fontId="14" fillId="4" borderId="10" xfId="1" applyFont="1" applyFill="1" applyBorder="1" applyAlignment="1">
      <alignment horizontal="center" vertical="center" wrapText="1"/>
    </xf>
    <xf numFmtId="168" fontId="1" fillId="0" borderId="11" xfId="1" applyNumberFormat="1" applyBorder="1" applyAlignment="1">
      <alignment horizontal="center"/>
    </xf>
    <xf numFmtId="10" fontId="1" fillId="0" borderId="12" xfId="1" applyNumberFormat="1" applyBorder="1" applyAlignment="1">
      <alignment horizontal="center"/>
    </xf>
    <xf numFmtId="0" fontId="1" fillId="0" borderId="13" xfId="1" applyNumberFormat="1" applyBorder="1" applyAlignment="1">
      <alignment horizontal="center"/>
    </xf>
    <xf numFmtId="4" fontId="1" fillId="0" borderId="0" xfId="1" applyNumberFormat="1"/>
    <xf numFmtId="3" fontId="1" fillId="0" borderId="11" xfId="1" applyNumberFormat="1" applyBorder="1" applyAlignment="1">
      <alignment vertical="center"/>
    </xf>
    <xf numFmtId="3" fontId="1" fillId="0" borderId="12" xfId="1" applyNumberFormat="1" applyBorder="1" applyAlignment="1">
      <alignment vertical="center"/>
    </xf>
    <xf numFmtId="10" fontId="1" fillId="0" borderId="12" xfId="1" applyNumberFormat="1" applyBorder="1" applyAlignment="1">
      <alignment vertical="center"/>
    </xf>
    <xf numFmtId="0" fontId="1" fillId="0" borderId="13" xfId="1" applyBorder="1" applyAlignment="1">
      <alignment vertical="center"/>
    </xf>
    <xf numFmtId="0" fontId="1" fillId="0" borderId="12" xfId="1" applyBorder="1" applyAlignment="1">
      <alignment vertical="center"/>
    </xf>
    <xf numFmtId="0" fontId="13" fillId="0" borderId="11" xfId="1" applyFont="1" applyBorder="1" applyAlignment="1">
      <alignment horizontal="right" vertical="center"/>
    </xf>
    <xf numFmtId="0" fontId="13" fillId="0" borderId="12" xfId="1" applyFont="1" applyBorder="1" applyAlignment="1">
      <alignment horizontal="right" vertical="center"/>
    </xf>
    <xf numFmtId="10" fontId="13" fillId="0" borderId="12" xfId="1" applyNumberFormat="1" applyFont="1" applyBorder="1" applyAlignment="1">
      <alignment horizontal="right" vertical="center"/>
    </xf>
    <xf numFmtId="0" fontId="13" fillId="0" borderId="13" xfId="1" applyFont="1" applyBorder="1" applyAlignment="1">
      <alignment horizontal="right" vertical="center"/>
    </xf>
    <xf numFmtId="0" fontId="5" fillId="0" borderId="0" xfId="1" applyFont="1" applyAlignment="1">
      <alignment vertical="center"/>
    </xf>
    <xf numFmtId="0" fontId="14" fillId="0" borderId="10" xfId="1" applyFont="1" applyBorder="1" applyAlignment="1">
      <alignment horizontal="right" vertical="center"/>
    </xf>
    <xf numFmtId="0" fontId="13" fillId="0" borderId="0" xfId="1" applyFont="1" applyAlignment="1">
      <alignment horizontal="right" vertical="center"/>
    </xf>
    <xf numFmtId="8" fontId="7" fillId="0" borderId="10" xfId="1" applyNumberFormat="1" applyFont="1" applyBorder="1" applyAlignment="1">
      <alignment vertical="center"/>
    </xf>
    <xf numFmtId="0" fontId="7" fillId="4" borderId="10" xfId="1" applyFont="1" applyFill="1" applyBorder="1" applyAlignment="1">
      <alignment horizontal="right" vertical="center"/>
    </xf>
    <xf numFmtId="167" fontId="7" fillId="4" borderId="10" xfId="1" applyNumberFormat="1" applyFont="1" applyFill="1" applyBorder="1" applyAlignment="1">
      <alignment vertical="center"/>
    </xf>
    <xf numFmtId="8" fontId="1" fillId="0" borderId="11" xfId="1" applyNumberFormat="1" applyBorder="1"/>
    <xf numFmtId="8" fontId="1" fillId="0" borderId="13" xfId="1" applyNumberFormat="1" applyBorder="1"/>
    <xf numFmtId="4" fontId="1" fillId="0" borderId="11" xfId="1" applyNumberFormat="1" applyBorder="1"/>
    <xf numFmtId="4" fontId="1" fillId="0" borderId="12" xfId="1" applyNumberFormat="1" applyBorder="1"/>
    <xf numFmtId="4" fontId="1" fillId="0" borderId="13" xfId="1" applyNumberFormat="1" applyBorder="1"/>
    <xf numFmtId="4" fontId="7" fillId="0" borderId="10" xfId="1" applyNumberFormat="1" applyFont="1" applyBorder="1"/>
    <xf numFmtId="0" fontId="1" fillId="0" borderId="12" xfId="1" applyNumberFormat="1" applyBorder="1"/>
    <xf numFmtId="10" fontId="7" fillId="0" borderId="10" xfId="1" applyNumberFormat="1" applyFont="1" applyBorder="1"/>
    <xf numFmtId="10" fontId="7" fillId="0" borderId="10" xfId="1" applyNumberFormat="1" applyFont="1" applyBorder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11" xfId="1" applyFont="1" applyBorder="1" applyAlignment="1">
      <alignment horizontal="right" vertical="center"/>
    </xf>
    <xf numFmtId="0" fontId="4" fillId="0" borderId="12" xfId="1" applyFont="1" applyBorder="1" applyAlignment="1">
      <alignment horizontal="right" vertical="center"/>
    </xf>
    <xf numFmtId="0" fontId="4" fillId="0" borderId="10" xfId="1" applyFont="1" applyBorder="1" applyAlignment="1">
      <alignment horizontal="right" vertical="center"/>
    </xf>
    <xf numFmtId="0" fontId="4" fillId="0" borderId="13" xfId="1" applyFont="1" applyBorder="1" applyAlignment="1">
      <alignment horizontal="right" vertical="center"/>
    </xf>
    <xf numFmtId="0" fontId="9" fillId="3" borderId="10" xfId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3" fontId="2" fillId="0" borderId="0" xfId="1" applyNumberFormat="1" applyFont="1" applyAlignment="1">
      <alignment vertical="center"/>
    </xf>
    <xf numFmtId="10" fontId="2" fillId="0" borderId="0" xfId="1" applyNumberFormat="1" applyFont="1" applyAlignment="1">
      <alignment vertical="center"/>
    </xf>
    <xf numFmtId="3" fontId="2" fillId="0" borderId="10" xfId="1" applyNumberFormat="1" applyFont="1" applyBorder="1" applyAlignment="1">
      <alignment vertical="center"/>
    </xf>
    <xf numFmtId="3" fontId="2" fillId="0" borderId="11" xfId="1" applyNumberFormat="1" applyFont="1" applyBorder="1" applyAlignment="1">
      <alignment vertical="center"/>
    </xf>
    <xf numFmtId="3" fontId="2" fillId="0" borderId="12" xfId="1" applyNumberFormat="1" applyFont="1" applyBorder="1" applyAlignment="1">
      <alignment vertical="center"/>
    </xf>
    <xf numFmtId="3" fontId="2" fillId="0" borderId="13" xfId="1" applyNumberFormat="1" applyFont="1" applyBorder="1" applyAlignment="1">
      <alignment vertical="center"/>
    </xf>
    <xf numFmtId="0" fontId="9" fillId="0" borderId="10" xfId="1" applyFont="1" applyBorder="1" applyAlignment="1">
      <alignment horizontal="right" vertical="center"/>
    </xf>
    <xf numFmtId="10" fontId="3" fillId="0" borderId="10" xfId="1" applyNumberFormat="1" applyFont="1" applyBorder="1" applyAlignment="1">
      <alignment vertical="center"/>
    </xf>
    <xf numFmtId="0" fontId="16" fillId="0" borderId="0" xfId="1" applyFont="1"/>
    <xf numFmtId="0" fontId="17" fillId="0" borderId="0" xfId="1" applyFont="1"/>
    <xf numFmtId="164" fontId="16" fillId="0" borderId="0" xfId="1" applyNumberFormat="1" applyFont="1"/>
    <xf numFmtId="0" fontId="18" fillId="0" borderId="0" xfId="1" applyFont="1"/>
    <xf numFmtId="165" fontId="16" fillId="0" borderId="0" xfId="1" applyNumberFormat="1" applyFont="1"/>
    <xf numFmtId="0" fontId="3" fillId="3" borderId="10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3" fillId="0" borderId="0" xfId="1" applyFont="1" applyAlignment="1">
      <alignment vertical="center"/>
    </xf>
    <xf numFmtId="0" fontId="3" fillId="3" borderId="11" xfId="1" applyFont="1" applyFill="1" applyBorder="1" applyAlignment="1">
      <alignment horizontal="right" vertical="center"/>
    </xf>
    <xf numFmtId="0" fontId="4" fillId="3" borderId="11" xfId="1" applyFont="1" applyFill="1" applyBorder="1" applyAlignment="1">
      <alignment horizontal="right" vertical="center"/>
    </xf>
    <xf numFmtId="169" fontId="2" fillId="0" borderId="11" xfId="1" applyNumberFormat="1" applyFont="1" applyBorder="1" applyAlignment="1">
      <alignment vertical="center"/>
    </xf>
    <xf numFmtId="164" fontId="2" fillId="0" borderId="0" xfId="1" applyNumberFormat="1" applyFont="1" applyAlignment="1">
      <alignment vertical="center"/>
    </xf>
    <xf numFmtId="0" fontId="3" fillId="3" borderId="12" xfId="1" applyFont="1" applyFill="1" applyBorder="1" applyAlignment="1">
      <alignment horizontal="right" vertical="center"/>
    </xf>
    <xf numFmtId="0" fontId="4" fillId="3" borderId="12" xfId="1" applyFont="1" applyFill="1" applyBorder="1" applyAlignment="1">
      <alignment horizontal="right" vertical="center"/>
    </xf>
    <xf numFmtId="169" fontId="2" fillId="0" borderId="12" xfId="1" applyNumberFormat="1" applyFont="1" applyBorder="1" applyAlignment="1">
      <alignment vertical="center"/>
    </xf>
    <xf numFmtId="0" fontId="3" fillId="3" borderId="13" xfId="1" applyFont="1" applyFill="1" applyBorder="1" applyAlignment="1">
      <alignment horizontal="right" vertical="center"/>
    </xf>
    <xf numFmtId="0" fontId="4" fillId="3" borderId="13" xfId="1" applyFont="1" applyFill="1" applyBorder="1" applyAlignment="1">
      <alignment horizontal="right" vertical="center"/>
    </xf>
    <xf numFmtId="169" fontId="2" fillId="0" borderId="13" xfId="1" applyNumberFormat="1" applyFont="1" applyBorder="1" applyAlignment="1">
      <alignment vertical="center"/>
    </xf>
    <xf numFmtId="0" fontId="3" fillId="2" borderId="1" xfId="1" applyFont="1" applyFill="1" applyBorder="1" applyAlignment="1">
      <alignment horizontal="right" vertical="center"/>
    </xf>
    <xf numFmtId="0" fontId="3" fillId="2" borderId="3" xfId="1" applyFont="1" applyFill="1" applyBorder="1" applyAlignment="1">
      <alignment horizontal="right" vertical="center"/>
    </xf>
    <xf numFmtId="0" fontId="3" fillId="2" borderId="5" xfId="1" applyFont="1" applyFill="1" applyBorder="1" applyAlignment="1">
      <alignment horizontal="right" vertical="center"/>
    </xf>
    <xf numFmtId="3" fontId="2" fillId="2" borderId="4" xfId="1" applyNumberFormat="1" applyFont="1" applyFill="1" applyBorder="1" applyAlignment="1">
      <alignment horizontal="left" vertical="center"/>
    </xf>
    <xf numFmtId="3" fontId="2" fillId="2" borderId="6" xfId="1" applyNumberFormat="1" applyFont="1" applyFill="1" applyBorder="1" applyAlignment="1">
      <alignment horizontal="left" vertical="center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10" fontId="2" fillId="0" borderId="11" xfId="1" applyNumberFormat="1" applyFont="1" applyBorder="1" applyAlignment="1">
      <alignment vertical="center"/>
    </xf>
    <xf numFmtId="0" fontId="9" fillId="0" borderId="0" xfId="1" quotePrefix="1" applyFont="1" applyAlignment="1">
      <alignment vertical="center"/>
    </xf>
    <xf numFmtId="0" fontId="9" fillId="0" borderId="0" xfId="1" applyFont="1" applyAlignment="1">
      <alignment vertical="center"/>
    </xf>
    <xf numFmtId="0" fontId="9" fillId="2" borderId="10" xfId="1" applyFont="1" applyFill="1" applyBorder="1" applyAlignment="1">
      <alignment vertical="center"/>
    </xf>
    <xf numFmtId="0" fontId="9" fillId="2" borderId="10" xfId="1" applyFont="1" applyFill="1" applyBorder="1" applyAlignment="1">
      <alignment horizontal="center" vertical="center" wrapText="1"/>
    </xf>
    <xf numFmtId="3" fontId="2" fillId="2" borderId="10" xfId="1" applyNumberFormat="1" applyFont="1" applyFill="1" applyBorder="1" applyAlignment="1">
      <alignment vertical="center"/>
    </xf>
    <xf numFmtId="4" fontId="3" fillId="0" borderId="10" xfId="1" applyNumberFormat="1" applyFont="1" applyBorder="1" applyAlignment="1">
      <alignment vertical="center"/>
    </xf>
    <xf numFmtId="4" fontId="2" fillId="0" borderId="11" xfId="1" applyNumberFormat="1" applyFont="1" applyBorder="1" applyAlignment="1">
      <alignment vertical="center"/>
    </xf>
    <xf numFmtId="4" fontId="2" fillId="0" borderId="12" xfId="1" applyNumberFormat="1" applyFont="1" applyBorder="1" applyAlignment="1">
      <alignment vertical="center"/>
    </xf>
    <xf numFmtId="4" fontId="2" fillId="0" borderId="13" xfId="1" applyNumberFormat="1" applyFont="1" applyBorder="1" applyAlignment="1">
      <alignment vertical="center"/>
    </xf>
    <xf numFmtId="4" fontId="2" fillId="0" borderId="10" xfId="1" applyNumberFormat="1" applyFont="1" applyBorder="1" applyAlignment="1">
      <alignment vertical="center"/>
    </xf>
    <xf numFmtId="10" fontId="2" fillId="0" borderId="10" xfId="1" applyNumberFormat="1" applyFont="1" applyBorder="1" applyAlignment="1">
      <alignment vertical="center"/>
    </xf>
    <xf numFmtId="0" fontId="9" fillId="0" borderId="0" xfId="1" quotePrefix="1" applyFont="1"/>
    <xf numFmtId="0" fontId="9" fillId="0" borderId="0" xfId="1" applyFont="1"/>
    <xf numFmtId="169" fontId="2" fillId="0" borderId="0" xfId="1" applyNumberFormat="1" applyFont="1" applyAlignment="1">
      <alignment vertical="center"/>
    </xf>
    <xf numFmtId="0" fontId="9" fillId="0" borderId="0" xfId="1" applyFont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showGridLines="0" tabSelected="1" workbookViewId="0">
      <selection activeCell="F8" sqref="F8"/>
    </sheetView>
  </sheetViews>
  <sheetFormatPr baseColWidth="10" defaultColWidth="9.140625" defaultRowHeight="12.75"/>
  <cols>
    <col min="1" max="1" width="22.7109375" style="3" customWidth="1"/>
    <col min="2" max="2" width="14.7109375" style="3" customWidth="1"/>
    <col min="3" max="3" width="13.7109375" style="3" customWidth="1"/>
    <col min="4" max="4" width="9" style="3" customWidth="1"/>
    <col min="5" max="5" width="22.7109375" style="3" customWidth="1"/>
    <col min="6" max="6" width="14.7109375" style="3" customWidth="1"/>
    <col min="7" max="7" width="13.7109375" style="3" customWidth="1"/>
    <col min="8" max="16384" width="9.140625" style="3"/>
  </cols>
  <sheetData>
    <row r="1" spans="1:8" ht="18" customHeight="1">
      <c r="A1" s="10" t="s">
        <v>18</v>
      </c>
      <c r="E1" s="10" t="s">
        <v>17</v>
      </c>
    </row>
    <row r="2" spans="1:8">
      <c r="A2" s="26" t="s">
        <v>8</v>
      </c>
      <c r="B2" s="15">
        <v>10000</v>
      </c>
      <c r="E2" s="26" t="s">
        <v>8</v>
      </c>
      <c r="F2" s="15">
        <v>10000</v>
      </c>
    </row>
    <row r="3" spans="1:8">
      <c r="A3" s="27" t="s">
        <v>22</v>
      </c>
      <c r="B3" s="16">
        <v>0.05</v>
      </c>
      <c r="E3" s="27" t="s">
        <v>23</v>
      </c>
      <c r="F3" s="19">
        <f>(1+B3)^(1/F5)-1</f>
        <v>4.0741237836483535E-3</v>
      </c>
      <c r="G3" s="25" t="s">
        <v>26</v>
      </c>
    </row>
    <row r="4" spans="1:8">
      <c r="A4" s="27" t="s">
        <v>6</v>
      </c>
      <c r="B4" s="17">
        <v>1</v>
      </c>
      <c r="E4" s="27" t="s">
        <v>6</v>
      </c>
      <c r="F4" s="17">
        <v>1</v>
      </c>
    </row>
    <row r="5" spans="1:8">
      <c r="A5" s="27" t="s">
        <v>7</v>
      </c>
      <c r="B5" s="17">
        <v>1</v>
      </c>
      <c r="E5" s="27" t="s">
        <v>7</v>
      </c>
      <c r="F5" s="17">
        <v>12</v>
      </c>
    </row>
    <row r="6" spans="1:8">
      <c r="A6" s="28" t="s">
        <v>9</v>
      </c>
      <c r="B6" s="18">
        <v>0</v>
      </c>
      <c r="E6" s="28" t="s">
        <v>9</v>
      </c>
      <c r="F6" s="18">
        <v>0</v>
      </c>
    </row>
    <row r="7" spans="1:8">
      <c r="A7" s="14"/>
    </row>
    <row r="8" spans="1:8">
      <c r="A8" s="29" t="s">
        <v>10</v>
      </c>
      <c r="B8" s="20">
        <f>FV(B3,B5,0,-B2)</f>
        <v>10500</v>
      </c>
      <c r="C8" s="8"/>
      <c r="E8" s="29" t="s">
        <v>10</v>
      </c>
      <c r="F8" s="21">
        <f>FV(F3,F5,-$F$6,-$F$2)</f>
        <v>10500.000000000011</v>
      </c>
    </row>
    <row r="9" spans="1:8">
      <c r="B9" s="24" t="s">
        <v>25</v>
      </c>
      <c r="F9" s="24" t="s">
        <v>24</v>
      </c>
    </row>
    <row r="10" spans="1:8" ht="15.75">
      <c r="A10" s="10" t="s">
        <v>16</v>
      </c>
      <c r="E10" s="10" t="s">
        <v>16</v>
      </c>
    </row>
    <row r="11" spans="1:8" ht="22.5">
      <c r="B11" s="30" t="s">
        <v>21</v>
      </c>
      <c r="C11" s="30" t="s">
        <v>20</v>
      </c>
      <c r="F11" s="30" t="s">
        <v>21</v>
      </c>
      <c r="G11" s="30" t="s">
        <v>20</v>
      </c>
    </row>
    <row r="12" spans="1:8" ht="5.0999999999999996" customHeight="1"/>
    <row r="13" spans="1:8">
      <c r="A13" s="32">
        <v>1</v>
      </c>
      <c r="B13" s="15">
        <f>B2</f>
        <v>10000</v>
      </c>
      <c r="C13" s="22"/>
      <c r="E13" s="32">
        <v>1</v>
      </c>
      <c r="F13" s="15">
        <f>B2</f>
        <v>10000</v>
      </c>
      <c r="G13" s="15">
        <f t="shared" ref="G13:G24" si="0">F13*$F$3</f>
        <v>40.741237836483535</v>
      </c>
      <c r="H13" s="24" t="s">
        <v>29</v>
      </c>
    </row>
    <row r="14" spans="1:8">
      <c r="A14" s="33">
        <v>2</v>
      </c>
      <c r="B14" s="17"/>
      <c r="C14" s="17"/>
      <c r="E14" s="33">
        <v>2</v>
      </c>
      <c r="F14" s="23">
        <f>F13+G13</f>
        <v>10040.741237836484</v>
      </c>
      <c r="G14" s="23">
        <f t="shared" si="0"/>
        <v>40.907222682528428</v>
      </c>
      <c r="H14" s="24" t="s">
        <v>30</v>
      </c>
    </row>
    <row r="15" spans="1:8">
      <c r="A15" s="33">
        <v>3</v>
      </c>
      <c r="B15" s="17"/>
      <c r="C15" s="17"/>
      <c r="E15" s="33">
        <v>3</v>
      </c>
      <c r="F15" s="23">
        <f t="shared" ref="F15:F24" si="1">F14+G14</f>
        <v>10081.648460519013</v>
      </c>
      <c r="G15" s="23">
        <f t="shared" si="0"/>
        <v>41.07388377138232</v>
      </c>
    </row>
    <row r="16" spans="1:8">
      <c r="A16" s="33">
        <v>4</v>
      </c>
      <c r="B16" s="17"/>
      <c r="C16" s="17"/>
      <c r="E16" s="33">
        <v>4</v>
      </c>
      <c r="F16" s="23">
        <f t="shared" si="1"/>
        <v>10122.722344290394</v>
      </c>
      <c r="G16" s="23">
        <f t="shared" si="0"/>
        <v>41.241223858142114</v>
      </c>
    </row>
    <row r="17" spans="1:7">
      <c r="A17" s="33">
        <v>5</v>
      </c>
      <c r="B17" s="17"/>
      <c r="C17" s="17"/>
      <c r="E17" s="33">
        <v>5</v>
      </c>
      <c r="F17" s="23">
        <f t="shared" si="1"/>
        <v>10163.963568148536</v>
      </c>
      <c r="G17" s="23">
        <f t="shared" si="0"/>
        <v>41.40924570912933</v>
      </c>
    </row>
    <row r="18" spans="1:7">
      <c r="A18" s="33">
        <v>6</v>
      </c>
      <c r="B18" s="17"/>
      <c r="C18" s="17"/>
      <c r="E18" s="33">
        <v>6</v>
      </c>
      <c r="F18" s="23">
        <f t="shared" si="1"/>
        <v>10205.372813857666</v>
      </c>
      <c r="G18" s="23">
        <f t="shared" si="0"/>
        <v>41.577952101935836</v>
      </c>
    </row>
    <row r="19" spans="1:7">
      <c r="A19" s="33">
        <v>7</v>
      </c>
      <c r="B19" s="17"/>
      <c r="C19" s="17"/>
      <c r="E19" s="33">
        <v>7</v>
      </c>
      <c r="F19" s="23">
        <f t="shared" si="1"/>
        <v>10246.950765959602</v>
      </c>
      <c r="G19" s="23">
        <f t="shared" si="0"/>
        <v>41.747345825469729</v>
      </c>
    </row>
    <row r="20" spans="1:7">
      <c r="A20" s="33">
        <v>8</v>
      </c>
      <c r="B20" s="17"/>
      <c r="C20" s="17"/>
      <c r="E20" s="33">
        <v>8</v>
      </c>
      <c r="F20" s="23">
        <f t="shared" si="1"/>
        <v>10288.698111785072</v>
      </c>
      <c r="G20" s="23">
        <f t="shared" si="0"/>
        <v>41.917429680001469</v>
      </c>
    </row>
    <row r="21" spans="1:7">
      <c r="A21" s="33">
        <v>9</v>
      </c>
      <c r="B21" s="17"/>
      <c r="C21" s="17"/>
      <c r="E21" s="33">
        <v>9</v>
      </c>
      <c r="F21" s="23">
        <f t="shared" si="1"/>
        <v>10330.615541465073</v>
      </c>
      <c r="G21" s="23">
        <f t="shared" si="0"/>
        <v>42.088206477210164</v>
      </c>
    </row>
    <row r="22" spans="1:7">
      <c r="A22" s="33">
        <v>10</v>
      </c>
      <c r="B22" s="17"/>
      <c r="C22" s="17"/>
      <c r="E22" s="33">
        <v>10</v>
      </c>
      <c r="F22" s="23">
        <f t="shared" si="1"/>
        <v>10372.703747942283</v>
      </c>
      <c r="G22" s="23">
        <f t="shared" si="0"/>
        <v>42.259679040230075</v>
      </c>
    </row>
    <row r="23" spans="1:7">
      <c r="A23" s="33">
        <v>11</v>
      </c>
      <c r="B23" s="17"/>
      <c r="C23" s="17"/>
      <c r="E23" s="33">
        <v>11</v>
      </c>
      <c r="F23" s="23">
        <f t="shared" si="1"/>
        <v>10414.963426982513</v>
      </c>
      <c r="G23" s="23">
        <f t="shared" si="0"/>
        <v>42.431850203697216</v>
      </c>
    </row>
    <row r="24" spans="1:7">
      <c r="A24" s="33">
        <v>12</v>
      </c>
      <c r="B24" s="17"/>
      <c r="C24" s="23">
        <f>B13*B3</f>
        <v>500</v>
      </c>
      <c r="D24" s="24" t="s">
        <v>27</v>
      </c>
      <c r="E24" s="33">
        <v>12</v>
      </c>
      <c r="F24" s="23">
        <f t="shared" si="1"/>
        <v>10457.39527718621</v>
      </c>
      <c r="G24" s="23">
        <f t="shared" si="0"/>
        <v>42.6047228137963</v>
      </c>
    </row>
    <row r="25" spans="1:7">
      <c r="A25" s="34">
        <v>13</v>
      </c>
      <c r="B25" s="21">
        <f>B13+C24</f>
        <v>10500</v>
      </c>
      <c r="C25" s="31"/>
      <c r="E25" s="34">
        <v>13</v>
      </c>
      <c r="F25" s="21">
        <f>F24+G24</f>
        <v>10500.000000000005</v>
      </c>
      <c r="G25" s="31"/>
    </row>
    <row r="26" spans="1:7">
      <c r="B26" s="24" t="s">
        <v>28</v>
      </c>
      <c r="F26" s="24" t="s">
        <v>31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7"/>
  <sheetViews>
    <sheetView showGridLines="0" workbookViewId="0">
      <selection activeCell="I22" sqref="I22"/>
    </sheetView>
  </sheetViews>
  <sheetFormatPr baseColWidth="10" defaultColWidth="9.140625" defaultRowHeight="12.75"/>
  <cols>
    <col min="1" max="1" width="22.7109375" style="3" customWidth="1"/>
    <col min="2" max="2" width="14.7109375" style="3" customWidth="1"/>
    <col min="3" max="3" width="13.7109375" style="3" customWidth="1"/>
    <col min="4" max="4" width="9" style="3" customWidth="1"/>
    <col min="5" max="5" width="22.7109375" style="3" customWidth="1"/>
    <col min="6" max="6" width="14.7109375" style="3" customWidth="1"/>
    <col min="7" max="7" width="13.7109375" style="3" customWidth="1"/>
    <col min="8" max="16384" width="9.140625" style="3"/>
  </cols>
  <sheetData>
    <row r="1" spans="1:8" ht="18" customHeight="1">
      <c r="A1" s="10" t="s">
        <v>18</v>
      </c>
      <c r="E1" s="10" t="s">
        <v>17</v>
      </c>
    </row>
    <row r="2" spans="1:8">
      <c r="A2" s="26" t="s">
        <v>8</v>
      </c>
      <c r="B2" s="15">
        <v>10000</v>
      </c>
      <c r="E2" s="26" t="s">
        <v>8</v>
      </c>
      <c r="F2" s="15">
        <v>10000</v>
      </c>
    </row>
    <row r="3" spans="1:8">
      <c r="A3" s="27" t="s">
        <v>22</v>
      </c>
      <c r="B3" s="16">
        <v>0.05</v>
      </c>
      <c r="E3" s="27" t="s">
        <v>23</v>
      </c>
      <c r="F3" s="19">
        <f>(1+B3)^(1/F5)-1</f>
        <v>4.0741237836483535E-3</v>
      </c>
      <c r="G3" s="25" t="s">
        <v>26</v>
      </c>
    </row>
    <row r="4" spans="1:8">
      <c r="A4" s="27" t="s">
        <v>6</v>
      </c>
      <c r="B4" s="17">
        <v>1</v>
      </c>
      <c r="E4" s="27" t="s">
        <v>6</v>
      </c>
      <c r="F4" s="17">
        <v>2</v>
      </c>
    </row>
    <row r="5" spans="1:8">
      <c r="A5" s="27" t="s">
        <v>7</v>
      </c>
      <c r="B5" s="17">
        <v>1</v>
      </c>
      <c r="E5" s="27" t="s">
        <v>7</v>
      </c>
      <c r="F5" s="17">
        <v>12</v>
      </c>
    </row>
    <row r="6" spans="1:8">
      <c r="A6" s="28" t="s">
        <v>9</v>
      </c>
      <c r="B6" s="18">
        <v>0</v>
      </c>
      <c r="E6" s="28" t="s">
        <v>9</v>
      </c>
      <c r="F6" s="18">
        <v>100</v>
      </c>
    </row>
    <row r="7" spans="1:8">
      <c r="A7" s="14"/>
    </row>
    <row r="8" spans="1:8">
      <c r="A8" s="29" t="s">
        <v>10</v>
      </c>
      <c r="B8" s="20">
        <f>FV(B3,B5,0,-B2)</f>
        <v>10500</v>
      </c>
      <c r="C8" s="8"/>
      <c r="E8" s="29" t="s">
        <v>10</v>
      </c>
      <c r="F8" s="21">
        <f>FV(F3,F4*F5,-$F$6,-$F$2)</f>
        <v>13540.878393567496</v>
      </c>
    </row>
    <row r="9" spans="1:8">
      <c r="B9" s="24" t="s">
        <v>25</v>
      </c>
      <c r="F9" s="24" t="s">
        <v>32</v>
      </c>
    </row>
    <row r="10" spans="1:8" ht="15.75">
      <c r="A10" s="10" t="s">
        <v>16</v>
      </c>
      <c r="E10" s="10" t="s">
        <v>16</v>
      </c>
    </row>
    <row r="11" spans="1:8" ht="22.5">
      <c r="B11" s="30" t="s">
        <v>21</v>
      </c>
      <c r="C11" s="30" t="s">
        <v>20</v>
      </c>
      <c r="F11" s="30" t="s">
        <v>21</v>
      </c>
      <c r="G11" s="30" t="s">
        <v>20</v>
      </c>
    </row>
    <row r="12" spans="1:8" ht="5.0999999999999996" customHeight="1"/>
    <row r="13" spans="1:8">
      <c r="A13" s="32">
        <v>1</v>
      </c>
      <c r="B13" s="15">
        <f>B2</f>
        <v>10000</v>
      </c>
      <c r="C13" s="22"/>
      <c r="E13" s="32">
        <v>1</v>
      </c>
      <c r="F13" s="15">
        <f>B2</f>
        <v>10000</v>
      </c>
      <c r="G13" s="15">
        <f t="shared" ref="G13:G24" si="0">F13*$F$3</f>
        <v>40.741237836483535</v>
      </c>
      <c r="H13" s="24" t="s">
        <v>29</v>
      </c>
    </row>
    <row r="14" spans="1:8">
      <c r="A14" s="33">
        <v>2</v>
      </c>
      <c r="B14" s="17"/>
      <c r="C14" s="17"/>
      <c r="E14" s="33">
        <v>2</v>
      </c>
      <c r="F14" s="23">
        <f>F13+G13+$F$6</f>
        <v>10140.741237836484</v>
      </c>
      <c r="G14" s="23">
        <f t="shared" si="0"/>
        <v>41.314635060893266</v>
      </c>
      <c r="H14" s="24" t="s">
        <v>30</v>
      </c>
    </row>
    <row r="15" spans="1:8">
      <c r="A15" s="33">
        <v>3</v>
      </c>
      <c r="B15" s="17"/>
      <c r="C15" s="17"/>
      <c r="E15" s="33">
        <v>3</v>
      </c>
      <c r="F15" s="23">
        <f t="shared" ref="F15:F37" si="1">F14+G14+$F$6</f>
        <v>10282.055872897377</v>
      </c>
      <c r="G15" s="23">
        <f t="shared" si="0"/>
        <v>41.89036837657244</v>
      </c>
    </row>
    <row r="16" spans="1:8">
      <c r="A16" s="33">
        <v>4</v>
      </c>
      <c r="B16" s="17"/>
      <c r="C16" s="17"/>
      <c r="E16" s="33">
        <v>4</v>
      </c>
      <c r="F16" s="23">
        <f t="shared" si="1"/>
        <v>10423.94624127395</v>
      </c>
      <c r="G16" s="23">
        <f t="shared" si="0"/>
        <v>42.468447301046062</v>
      </c>
    </row>
    <row r="17" spans="1:7">
      <c r="A17" s="33">
        <v>5</v>
      </c>
      <c r="B17" s="17"/>
      <c r="C17" s="17"/>
      <c r="E17" s="33">
        <v>5</v>
      </c>
      <c r="F17" s="23">
        <f t="shared" si="1"/>
        <v>10566.414688574996</v>
      </c>
      <c r="G17" s="23">
        <f t="shared" si="0"/>
        <v>43.048881390614703</v>
      </c>
    </row>
    <row r="18" spans="1:7">
      <c r="A18" s="33">
        <v>6</v>
      </c>
      <c r="B18" s="17"/>
      <c r="C18" s="17"/>
      <c r="E18" s="33">
        <v>6</v>
      </c>
      <c r="F18" s="23">
        <f t="shared" si="1"/>
        <v>10709.46356996561</v>
      </c>
      <c r="G18" s="23">
        <f t="shared" si="0"/>
        <v>43.631680240512495</v>
      </c>
    </row>
    <row r="19" spans="1:7">
      <c r="A19" s="33">
        <v>7</v>
      </c>
      <c r="B19" s="17"/>
      <c r="C19" s="17"/>
      <c r="E19" s="33">
        <v>7</v>
      </c>
      <c r="F19" s="23">
        <f t="shared" si="1"/>
        <v>10853.095250206123</v>
      </c>
      <c r="G19" s="23">
        <f t="shared" si="0"/>
        <v>44.216853485065741</v>
      </c>
    </row>
    <row r="20" spans="1:7">
      <c r="A20" s="33">
        <v>8</v>
      </c>
      <c r="B20" s="17"/>
      <c r="C20" s="17"/>
      <c r="E20" s="33">
        <v>8</v>
      </c>
      <c r="F20" s="23">
        <f t="shared" si="1"/>
        <v>10997.312103691189</v>
      </c>
      <c r="G20" s="23">
        <f t="shared" si="0"/>
        <v>44.804410797852178</v>
      </c>
    </row>
    <row r="21" spans="1:7">
      <c r="A21" s="33">
        <v>9</v>
      </c>
      <c r="B21" s="17"/>
      <c r="C21" s="17"/>
      <c r="E21" s="33">
        <v>9</v>
      </c>
      <c r="F21" s="23">
        <f t="shared" si="1"/>
        <v>11142.116514489042</v>
      </c>
      <c r="G21" s="23">
        <f t="shared" si="0"/>
        <v>45.394361891860903</v>
      </c>
    </row>
    <row r="22" spans="1:7">
      <c r="A22" s="33">
        <v>10</v>
      </c>
      <c r="B22" s="17"/>
      <c r="C22" s="17"/>
      <c r="E22" s="33">
        <v>10</v>
      </c>
      <c r="F22" s="23">
        <f t="shared" si="1"/>
        <v>11287.510876380902</v>
      </c>
      <c r="G22" s="23">
        <f t="shared" si="0"/>
        <v>45.986716519652902</v>
      </c>
    </row>
    <row r="23" spans="1:7">
      <c r="A23" s="33">
        <v>11</v>
      </c>
      <c r="B23" s="17"/>
      <c r="C23" s="17"/>
      <c r="E23" s="33">
        <v>11</v>
      </c>
      <c r="F23" s="23">
        <f t="shared" si="1"/>
        <v>11433.497592900556</v>
      </c>
      <c r="G23" s="23">
        <f t="shared" si="0"/>
        <v>46.581484473522352</v>
      </c>
    </row>
    <row r="24" spans="1:7">
      <c r="A24" s="33">
        <v>12</v>
      </c>
      <c r="B24" s="17"/>
      <c r="C24" s="23">
        <f>B13*B3</f>
        <v>500</v>
      </c>
      <c r="D24" s="24" t="s">
        <v>27</v>
      </c>
      <c r="E24" s="33">
        <v>12</v>
      </c>
      <c r="F24" s="23">
        <f t="shared" si="1"/>
        <v>11580.079077374079</v>
      </c>
      <c r="G24" s="23">
        <f t="shared" si="0"/>
        <v>47.178675585658418</v>
      </c>
    </row>
    <row r="25" spans="1:7">
      <c r="A25" s="34">
        <v>13</v>
      </c>
      <c r="B25" s="21">
        <f>B13+C24</f>
        <v>10500</v>
      </c>
      <c r="C25" s="31"/>
      <c r="E25" s="32">
        <v>13</v>
      </c>
      <c r="F25" s="15">
        <f t="shared" si="1"/>
        <v>11727.257752959738</v>
      </c>
      <c r="G25" s="15">
        <f t="shared" ref="G25:G36" si="2">F25*$F$3</f>
        <v>47.778299728307815</v>
      </c>
    </row>
    <row r="26" spans="1:7">
      <c r="B26" s="24" t="s">
        <v>28</v>
      </c>
      <c r="E26" s="33">
        <v>14</v>
      </c>
      <c r="F26" s="23">
        <f t="shared" si="1"/>
        <v>11875.036052688047</v>
      </c>
      <c r="G26" s="23">
        <f t="shared" si="2"/>
        <v>48.380366813938032</v>
      </c>
    </row>
    <row r="27" spans="1:7">
      <c r="E27" s="33">
        <v>15</v>
      </c>
      <c r="F27" s="23">
        <f t="shared" si="1"/>
        <v>12023.416419501984</v>
      </c>
      <c r="G27" s="23">
        <f t="shared" si="2"/>
        <v>48.98488679540116</v>
      </c>
    </row>
    <row r="28" spans="1:7">
      <c r="E28" s="33">
        <v>16</v>
      </c>
      <c r="F28" s="23">
        <f t="shared" si="1"/>
        <v>12172.401306297385</v>
      </c>
      <c r="G28" s="23">
        <f t="shared" si="2"/>
        <v>49.591869666098461</v>
      </c>
    </row>
    <row r="29" spans="1:7">
      <c r="E29" s="33">
        <v>17</v>
      </c>
      <c r="F29" s="23">
        <f t="shared" si="1"/>
        <v>12321.993175963484</v>
      </c>
      <c r="G29" s="23">
        <f t="shared" si="2"/>
        <v>50.20132546014554</v>
      </c>
    </row>
    <row r="30" spans="1:7">
      <c r="E30" s="33">
        <v>18</v>
      </c>
      <c r="F30" s="23">
        <f t="shared" si="1"/>
        <v>12472.19450142363</v>
      </c>
      <c r="G30" s="23">
        <f t="shared" si="2"/>
        <v>50.813264252538225</v>
      </c>
    </row>
    <row r="31" spans="1:7">
      <c r="E31" s="33">
        <v>19</v>
      </c>
      <c r="F31" s="23">
        <f t="shared" si="1"/>
        <v>12623.007765676168</v>
      </c>
      <c r="G31" s="23">
        <f t="shared" si="2"/>
        <v>51.42769615931914</v>
      </c>
    </row>
    <row r="32" spans="1:7">
      <c r="E32" s="33">
        <v>20</v>
      </c>
      <c r="F32" s="23">
        <f t="shared" si="1"/>
        <v>12774.435461835486</v>
      </c>
      <c r="G32" s="23">
        <f t="shared" si="2"/>
        <v>52.044631337744896</v>
      </c>
    </row>
    <row r="33" spans="5:7">
      <c r="E33" s="33">
        <v>21</v>
      </c>
      <c r="F33" s="23">
        <f t="shared" si="1"/>
        <v>12926.480093173232</v>
      </c>
      <c r="G33" s="23">
        <f t="shared" si="2"/>
        <v>52.664079986454048</v>
      </c>
    </row>
    <row r="34" spans="5:7">
      <c r="E34" s="33">
        <v>22</v>
      </c>
      <c r="F34" s="23">
        <f t="shared" si="1"/>
        <v>13079.144173159686</v>
      </c>
      <c r="G34" s="23">
        <f t="shared" si="2"/>
        <v>53.286052345635653</v>
      </c>
    </row>
    <row r="35" spans="5:7">
      <c r="E35" s="33">
        <v>23</v>
      </c>
      <c r="F35" s="23">
        <f t="shared" si="1"/>
        <v>13232.430225505323</v>
      </c>
      <c r="G35" s="23">
        <f t="shared" si="2"/>
        <v>53.910558697198582</v>
      </c>
    </row>
    <row r="36" spans="5:7">
      <c r="E36" s="33">
        <v>24</v>
      </c>
      <c r="F36" s="23">
        <f t="shared" si="1"/>
        <v>13386.340784202521</v>
      </c>
      <c r="G36" s="23">
        <f t="shared" si="2"/>
        <v>54.537609364941439</v>
      </c>
    </row>
    <row r="37" spans="5:7">
      <c r="E37" s="34">
        <v>25</v>
      </c>
      <c r="F37" s="36">
        <f t="shared" si="1"/>
        <v>13540.878393567462</v>
      </c>
      <c r="G37" s="36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9"/>
  <sheetViews>
    <sheetView showGridLines="0" workbookViewId="0">
      <selection activeCell="J2" sqref="J2:J6"/>
    </sheetView>
  </sheetViews>
  <sheetFormatPr baseColWidth="10" defaultColWidth="9.140625" defaultRowHeight="12.75"/>
  <cols>
    <col min="1" max="1" width="27.140625" style="3" customWidth="1"/>
    <col min="2" max="2" width="14.7109375" style="3" customWidth="1"/>
    <col min="3" max="5" width="13.7109375" style="3" customWidth="1"/>
    <col min="6" max="7" width="9.140625" style="3"/>
    <col min="8" max="8" width="10.42578125" style="3" customWidth="1"/>
    <col min="9" max="16384" width="9.140625" style="3"/>
  </cols>
  <sheetData>
    <row r="1" spans="1:11" ht="18" customHeight="1">
      <c r="A1" s="10" t="s">
        <v>43</v>
      </c>
    </row>
    <row r="2" spans="1:11">
      <c r="A2" s="26" t="s">
        <v>33</v>
      </c>
      <c r="B2" s="15">
        <v>10000</v>
      </c>
      <c r="E2" s="12" t="s">
        <v>41</v>
      </c>
      <c r="J2" s="6"/>
    </row>
    <row r="3" spans="1:11">
      <c r="A3" s="27" t="s">
        <v>22</v>
      </c>
      <c r="B3" s="38">
        <v>7.0000000000000007E-2</v>
      </c>
      <c r="E3" s="3">
        <f>NPER(B4,-B6,B2)</f>
        <v>58.931933950369036</v>
      </c>
    </row>
    <row r="4" spans="1:11">
      <c r="A4" s="27" t="s">
        <v>23</v>
      </c>
      <c r="B4" s="19">
        <f>(1+B3)^(1/12)-1</f>
        <v>5.6541453874052738E-3</v>
      </c>
      <c r="C4" s="25" t="s">
        <v>26</v>
      </c>
      <c r="J4" s="9"/>
    </row>
    <row r="5" spans="1:11">
      <c r="A5" s="27" t="s">
        <v>34</v>
      </c>
      <c r="B5" s="17">
        <v>36</v>
      </c>
      <c r="C5" s="37" t="s">
        <v>35</v>
      </c>
    </row>
    <row r="6" spans="1:11">
      <c r="A6" s="28" t="s">
        <v>36</v>
      </c>
      <c r="B6" s="18">
        <v>200</v>
      </c>
    </row>
    <row r="8" spans="1:11">
      <c r="A8" s="29" t="s">
        <v>10</v>
      </c>
      <c r="B8" s="21">
        <f>FV(B4,B5,-$B$6,$B$2)</f>
        <v>-4290.1465413790838</v>
      </c>
      <c r="D8" s="11"/>
      <c r="I8" s="13" t="s">
        <v>44</v>
      </c>
      <c r="J8" s="7">
        <v>4.7500000000000001E-2</v>
      </c>
    </row>
    <row r="9" spans="1:11">
      <c r="B9" s="24" t="s">
        <v>37</v>
      </c>
      <c r="I9" s="13" t="s">
        <v>45</v>
      </c>
      <c r="J9" s="7">
        <f>EFFECT(J8,12)</f>
        <v>4.8547881445884844E-2</v>
      </c>
    </row>
    <row r="10" spans="1:11" ht="15.75">
      <c r="A10" s="10" t="s">
        <v>38</v>
      </c>
      <c r="I10" s="13" t="s">
        <v>46</v>
      </c>
      <c r="J10" s="3">
        <f>(J9+1)^(1/12)-1</f>
        <v>3.958333333333286E-3</v>
      </c>
    </row>
    <row r="11" spans="1:11" ht="22.5">
      <c r="B11" s="30" t="s">
        <v>21</v>
      </c>
      <c r="C11" s="30" t="s">
        <v>39</v>
      </c>
      <c r="D11" s="30" t="s">
        <v>40</v>
      </c>
      <c r="E11" s="30" t="s">
        <v>42</v>
      </c>
    </row>
    <row r="12" spans="1:11" ht="5.0999999999999996" customHeight="1"/>
    <row r="13" spans="1:11">
      <c r="A13" s="32">
        <v>1</v>
      </c>
      <c r="B13" s="15">
        <f>B2</f>
        <v>10000</v>
      </c>
      <c r="C13" s="15">
        <f>PPMT($B$4,A13,$E$3,-$B$2)</f>
        <v>143.45854612594732</v>
      </c>
      <c r="D13" s="15">
        <f>IPMT($B$4,A13,$E$3,-$B$2)</f>
        <v>56.541453874052735</v>
      </c>
      <c r="E13" s="15">
        <f>C13+D13</f>
        <v>200.00000000000006</v>
      </c>
      <c r="G13" s="3">
        <v>1</v>
      </c>
      <c r="H13" s="39">
        <v>10000</v>
      </c>
      <c r="I13" s="40">
        <f t="shared" ref="I13:I24" si="0">H13*$J$10</f>
        <v>39.58333333333286</v>
      </c>
      <c r="J13" s="39">
        <v>10000</v>
      </c>
      <c r="K13" s="40">
        <f>J13*(4.75%/12)</f>
        <v>39.583333333333336</v>
      </c>
    </row>
    <row r="14" spans="1:11">
      <c r="A14" s="33">
        <v>2</v>
      </c>
      <c r="B14" s="23">
        <f>B13-C13</f>
        <v>9856.5414538740533</v>
      </c>
      <c r="C14" s="23">
        <f t="shared" ref="C14:C49" si="1">PPMT($B$4,A14,$E$3,-$B$2)</f>
        <v>144.26968160280921</v>
      </c>
      <c r="D14" s="23">
        <f t="shared" ref="D14:D49" si="2">IPMT($B$4,A14,$E$3,-$B$2)</f>
        <v>55.73031839719085</v>
      </c>
      <c r="E14" s="23">
        <f t="shared" ref="E14:E49" si="3">C14+D14</f>
        <v>200.00000000000006</v>
      </c>
      <c r="G14" s="3">
        <v>2</v>
      </c>
      <c r="H14" s="41">
        <f>H13+I13</f>
        <v>10039.583333333332</v>
      </c>
      <c r="I14" s="42">
        <f t="shared" si="0"/>
        <v>39.740017361110631</v>
      </c>
      <c r="J14" s="41">
        <f>J13+K13</f>
        <v>10039.583333333334</v>
      </c>
      <c r="K14" s="42">
        <f t="shared" ref="K14:K24" si="4">H14*(4.75%/12)</f>
        <v>39.740017361111107</v>
      </c>
    </row>
    <row r="15" spans="1:11">
      <c r="A15" s="33">
        <v>3</v>
      </c>
      <c r="B15" s="23">
        <f t="shared" ref="B15:B49" si="5">B14-C14</f>
        <v>9712.2717722712441</v>
      </c>
      <c r="C15" s="23">
        <f t="shared" si="1"/>
        <v>145.08540335758616</v>
      </c>
      <c r="D15" s="23">
        <f t="shared" si="2"/>
        <v>54.914596642413898</v>
      </c>
      <c r="E15" s="23">
        <f t="shared" si="3"/>
        <v>200.00000000000006</v>
      </c>
      <c r="G15" s="3">
        <v>3</v>
      </c>
      <c r="H15" s="41">
        <f t="shared" ref="H15:H25" si="6">H14+I14</f>
        <v>10079.323350694443</v>
      </c>
      <c r="I15" s="42">
        <f t="shared" si="0"/>
        <v>39.897321596498358</v>
      </c>
      <c r="J15" s="41">
        <f t="shared" ref="J15:J25" si="7">J14+K14</f>
        <v>10079.323350694445</v>
      </c>
      <c r="K15" s="42">
        <f t="shared" si="4"/>
        <v>39.897321596498841</v>
      </c>
    </row>
    <row r="16" spans="1:11">
      <c r="A16" s="33">
        <v>4</v>
      </c>
      <c r="B16" s="23">
        <f t="shared" si="5"/>
        <v>9567.1863689136571</v>
      </c>
      <c r="C16" s="23">
        <f t="shared" si="1"/>
        <v>145.90573732176028</v>
      </c>
      <c r="D16" s="23">
        <f t="shared" si="2"/>
        <v>54.094262678239758</v>
      </c>
      <c r="E16" s="23">
        <f t="shared" si="3"/>
        <v>200.00000000000006</v>
      </c>
      <c r="G16" s="3">
        <v>4</v>
      </c>
      <c r="H16" s="41">
        <f t="shared" si="6"/>
        <v>10119.220672290941</v>
      </c>
      <c r="I16" s="42">
        <f t="shared" si="0"/>
        <v>40.055248494484495</v>
      </c>
      <c r="J16" s="41">
        <f t="shared" si="7"/>
        <v>10119.220672290943</v>
      </c>
      <c r="K16" s="42">
        <f t="shared" si="4"/>
        <v>40.055248494484978</v>
      </c>
    </row>
    <row r="17" spans="1:11">
      <c r="A17" s="33">
        <v>5</v>
      </c>
      <c r="B17" s="23">
        <f t="shared" si="5"/>
        <v>9421.280631591897</v>
      </c>
      <c r="C17" s="23">
        <f t="shared" si="1"/>
        <v>146.7307095734341</v>
      </c>
      <c r="D17" s="23">
        <f t="shared" si="2"/>
        <v>53.269290426565966</v>
      </c>
      <c r="E17" s="23">
        <f t="shared" si="3"/>
        <v>200.00000000000006</v>
      </c>
      <c r="G17" s="3">
        <v>5</v>
      </c>
      <c r="H17" s="41">
        <f t="shared" si="6"/>
        <v>10159.275920785425</v>
      </c>
      <c r="I17" s="42">
        <f t="shared" si="0"/>
        <v>40.213800519775162</v>
      </c>
      <c r="J17" s="41">
        <f t="shared" si="7"/>
        <v>10159.275920785429</v>
      </c>
      <c r="K17" s="42">
        <f t="shared" si="4"/>
        <v>40.213800519775646</v>
      </c>
    </row>
    <row r="18" spans="1:11">
      <c r="A18" s="33">
        <v>6</v>
      </c>
      <c r="B18" s="23">
        <f t="shared" si="5"/>
        <v>9274.5499220184629</v>
      </c>
      <c r="C18" s="23">
        <f t="shared" si="1"/>
        <v>147.56034633815943</v>
      </c>
      <c r="D18" s="23">
        <f t="shared" si="2"/>
        <v>52.439653661840637</v>
      </c>
      <c r="E18" s="23">
        <f t="shared" si="3"/>
        <v>200.00000000000006</v>
      </c>
      <c r="G18" s="3">
        <v>6</v>
      </c>
      <c r="H18" s="41">
        <f t="shared" si="6"/>
        <v>10199.489721305201</v>
      </c>
      <c r="I18" s="42">
        <f t="shared" si="0"/>
        <v>40.372980146832603</v>
      </c>
      <c r="J18" s="41">
        <f t="shared" si="7"/>
        <v>10199.489721305205</v>
      </c>
      <c r="K18" s="42">
        <f t="shared" si="4"/>
        <v>40.372980146833093</v>
      </c>
    </row>
    <row r="19" spans="1:11">
      <c r="A19" s="33">
        <v>7</v>
      </c>
      <c r="B19" s="23">
        <f t="shared" si="5"/>
        <v>9126.9895756803035</v>
      </c>
      <c r="C19" s="23">
        <f t="shared" si="1"/>
        <v>148.39467398977126</v>
      </c>
      <c r="D19" s="23">
        <f t="shared" si="2"/>
        <v>51.605326010228794</v>
      </c>
      <c r="E19" s="23">
        <f t="shared" si="3"/>
        <v>200.00000000000006</v>
      </c>
      <c r="G19" s="3">
        <v>7</v>
      </c>
      <c r="H19" s="41">
        <f t="shared" si="6"/>
        <v>10239.862701452033</v>
      </c>
      <c r="I19" s="42">
        <f t="shared" si="0"/>
        <v>40.532789859913812</v>
      </c>
      <c r="J19" s="41">
        <f t="shared" si="7"/>
        <v>10239.862701452037</v>
      </c>
      <c r="K19" s="42">
        <f t="shared" si="4"/>
        <v>40.532789859914303</v>
      </c>
    </row>
    <row r="20" spans="1:11">
      <c r="A20" s="33">
        <v>8</v>
      </c>
      <c r="B20" s="23">
        <f t="shared" si="5"/>
        <v>8978.5949016905324</v>
      </c>
      <c r="C20" s="23">
        <f t="shared" si="1"/>
        <v>149.23371905122605</v>
      </c>
      <c r="D20" s="23">
        <f t="shared" si="2"/>
        <v>50.766280948774011</v>
      </c>
      <c r="E20" s="23">
        <f t="shared" si="3"/>
        <v>200.00000000000006</v>
      </c>
      <c r="G20" s="3">
        <v>8</v>
      </c>
      <c r="H20" s="41">
        <f t="shared" si="6"/>
        <v>10280.395491311947</v>
      </c>
      <c r="I20" s="42">
        <f t="shared" si="0"/>
        <v>40.6932321531093</v>
      </c>
      <c r="J20" s="41">
        <f t="shared" si="7"/>
        <v>10280.395491311951</v>
      </c>
      <c r="K20" s="42">
        <f t="shared" si="4"/>
        <v>40.69323215310979</v>
      </c>
    </row>
    <row r="21" spans="1:11">
      <c r="A21" s="33">
        <v>9</v>
      </c>
      <c r="B21" s="23">
        <f t="shared" si="5"/>
        <v>8829.3611826393062</v>
      </c>
      <c r="C21" s="23">
        <f t="shared" si="1"/>
        <v>150.07750819544486</v>
      </c>
      <c r="D21" s="23">
        <f t="shared" si="2"/>
        <v>49.922491804555207</v>
      </c>
      <c r="E21" s="23">
        <f t="shared" si="3"/>
        <v>200.00000000000006</v>
      </c>
      <c r="G21" s="3">
        <v>9</v>
      </c>
      <c r="H21" s="41">
        <f t="shared" si="6"/>
        <v>10321.088723465056</v>
      </c>
      <c r="I21" s="42">
        <f t="shared" si="0"/>
        <v>40.854309530382025</v>
      </c>
      <c r="J21" s="41">
        <f t="shared" si="7"/>
        <v>10321.08872346506</v>
      </c>
      <c r="K21" s="42">
        <f t="shared" si="4"/>
        <v>40.854309530382515</v>
      </c>
    </row>
    <row r="22" spans="1:11">
      <c r="A22" s="33">
        <v>10</v>
      </c>
      <c r="B22" s="23">
        <f t="shared" si="5"/>
        <v>8679.2836744438609</v>
      </c>
      <c r="C22" s="23">
        <f t="shared" si="1"/>
        <v>150.92606824616138</v>
      </c>
      <c r="D22" s="23">
        <f t="shared" si="2"/>
        <v>49.073931753838664</v>
      </c>
      <c r="E22" s="23">
        <f t="shared" si="3"/>
        <v>200.00000000000006</v>
      </c>
      <c r="G22" s="3">
        <v>10</v>
      </c>
      <c r="H22" s="41">
        <f t="shared" si="6"/>
        <v>10361.943032995438</v>
      </c>
      <c r="I22" s="42">
        <f t="shared" si="0"/>
        <v>41.016024505606453</v>
      </c>
      <c r="J22" s="41">
        <f t="shared" si="7"/>
        <v>10361.943032995443</v>
      </c>
      <c r="K22" s="42">
        <f t="shared" si="4"/>
        <v>41.016024505606943</v>
      </c>
    </row>
    <row r="23" spans="1:11">
      <c r="A23" s="33">
        <v>11</v>
      </c>
      <c r="B23" s="23">
        <f t="shared" si="5"/>
        <v>8528.3576061977001</v>
      </c>
      <c r="C23" s="23">
        <f t="shared" si="1"/>
        <v>151.77942617877466</v>
      </c>
      <c r="D23" s="23">
        <f t="shared" si="2"/>
        <v>48.2205738212254</v>
      </c>
      <c r="E23" s="23">
        <f t="shared" si="3"/>
        <v>200.00000000000006</v>
      </c>
      <c r="G23" s="3">
        <v>11</v>
      </c>
      <c r="H23" s="41">
        <f t="shared" si="6"/>
        <v>10402.959057501044</v>
      </c>
      <c r="I23" s="42">
        <f t="shared" si="0"/>
        <v>41.178379602607805</v>
      </c>
      <c r="J23" s="41">
        <f t="shared" si="7"/>
        <v>10402.95905750105</v>
      </c>
      <c r="K23" s="42">
        <f t="shared" si="4"/>
        <v>41.178379602608302</v>
      </c>
    </row>
    <row r="24" spans="1:11">
      <c r="A24" s="35">
        <v>12</v>
      </c>
      <c r="B24" s="18">
        <f t="shared" si="5"/>
        <v>8376.5781800189252</v>
      </c>
      <c r="C24" s="18">
        <f t="shared" si="1"/>
        <v>152.63760912120642</v>
      </c>
      <c r="D24" s="18">
        <f t="shared" si="2"/>
        <v>47.362390878793647</v>
      </c>
      <c r="E24" s="18">
        <f t="shared" si="3"/>
        <v>200.00000000000006</v>
      </c>
      <c r="G24" s="3">
        <v>12</v>
      </c>
      <c r="H24" s="41">
        <f t="shared" si="6"/>
        <v>10444.137437103653</v>
      </c>
      <c r="I24" s="42">
        <f t="shared" si="0"/>
        <v>41.341377355201466</v>
      </c>
      <c r="J24" s="41">
        <f t="shared" si="7"/>
        <v>10444.137437103658</v>
      </c>
      <c r="K24" s="42">
        <f t="shared" si="4"/>
        <v>41.341377355201963</v>
      </c>
    </row>
    <row r="25" spans="1:11">
      <c r="A25" s="32">
        <v>13</v>
      </c>
      <c r="B25" s="15">
        <f t="shared" si="5"/>
        <v>8223.9405708977192</v>
      </c>
      <c r="C25" s="15">
        <f t="shared" si="1"/>
        <v>153.50064435476364</v>
      </c>
      <c r="D25" s="15">
        <f t="shared" si="2"/>
        <v>46.499355645236413</v>
      </c>
      <c r="E25" s="15">
        <f t="shared" si="3"/>
        <v>200.00000000000006</v>
      </c>
      <c r="G25" s="3">
        <v>13</v>
      </c>
      <c r="H25" s="43">
        <f t="shared" si="6"/>
        <v>10485.478814458855</v>
      </c>
      <c r="I25" s="44"/>
      <c r="J25" s="43">
        <f t="shared" si="7"/>
        <v>10485.47881445886</v>
      </c>
      <c r="K25" s="44"/>
    </row>
    <row r="26" spans="1:11">
      <c r="A26" s="33">
        <v>14</v>
      </c>
      <c r="B26" s="23">
        <f t="shared" si="5"/>
        <v>8070.4399265429556</v>
      </c>
      <c r="C26" s="23">
        <f t="shared" si="1"/>
        <v>154.36855931500585</v>
      </c>
      <c r="D26" s="23">
        <f t="shared" si="2"/>
        <v>45.631440684994203</v>
      </c>
      <c r="E26" s="23">
        <f t="shared" si="3"/>
        <v>200.00000000000006</v>
      </c>
    </row>
    <row r="27" spans="1:11">
      <c r="A27" s="33">
        <v>15</v>
      </c>
      <c r="B27" s="23">
        <f t="shared" si="5"/>
        <v>7916.0713672279498</v>
      </c>
      <c r="C27" s="23">
        <f t="shared" si="1"/>
        <v>155.24138159261719</v>
      </c>
      <c r="D27" s="23">
        <f t="shared" si="2"/>
        <v>44.758618407382855</v>
      </c>
      <c r="E27" s="23">
        <f t="shared" si="3"/>
        <v>200.00000000000006</v>
      </c>
    </row>
    <row r="28" spans="1:11">
      <c r="A28" s="33">
        <v>16</v>
      </c>
      <c r="B28" s="23">
        <f t="shared" si="5"/>
        <v>7760.8299856353324</v>
      </c>
      <c r="C28" s="23">
        <f t="shared" si="1"/>
        <v>156.11913893428351</v>
      </c>
      <c r="D28" s="23">
        <f t="shared" si="2"/>
        <v>43.880861065716537</v>
      </c>
      <c r="E28" s="23">
        <f t="shared" si="3"/>
        <v>200.00000000000006</v>
      </c>
    </row>
    <row r="29" spans="1:11">
      <c r="A29" s="33">
        <v>17</v>
      </c>
      <c r="B29" s="23">
        <f t="shared" si="5"/>
        <v>7604.7108467010485</v>
      </c>
      <c r="C29" s="23">
        <f t="shared" si="1"/>
        <v>157.00185924357447</v>
      </c>
      <c r="D29" s="23">
        <f t="shared" si="2"/>
        <v>42.998140756425592</v>
      </c>
      <c r="E29" s="23">
        <f t="shared" si="3"/>
        <v>200.00000000000006</v>
      </c>
    </row>
    <row r="30" spans="1:11">
      <c r="A30" s="33">
        <v>18</v>
      </c>
      <c r="B30" s="23">
        <f t="shared" si="5"/>
        <v>7447.708987457474</v>
      </c>
      <c r="C30" s="23">
        <f t="shared" si="1"/>
        <v>157.88957058183055</v>
      </c>
      <c r="D30" s="23">
        <f t="shared" si="2"/>
        <v>42.110429418169502</v>
      </c>
      <c r="E30" s="23">
        <f t="shared" si="3"/>
        <v>200.00000000000006</v>
      </c>
    </row>
    <row r="31" spans="1:11">
      <c r="A31" s="33">
        <v>19</v>
      </c>
      <c r="B31" s="23">
        <f t="shared" si="5"/>
        <v>7289.8194168756436</v>
      </c>
      <c r="C31" s="23">
        <f t="shared" si="1"/>
        <v>158.78230116905524</v>
      </c>
      <c r="D31" s="23">
        <f t="shared" si="2"/>
        <v>41.217698830944826</v>
      </c>
      <c r="E31" s="23">
        <f t="shared" si="3"/>
        <v>200.00000000000006</v>
      </c>
    </row>
    <row r="32" spans="1:11">
      <c r="A32" s="33">
        <v>20</v>
      </c>
      <c r="B32" s="23">
        <f t="shared" si="5"/>
        <v>7131.0371157065883</v>
      </c>
      <c r="C32" s="23">
        <f t="shared" si="1"/>
        <v>159.68007938481185</v>
      </c>
      <c r="D32" s="23">
        <f t="shared" si="2"/>
        <v>40.319920615188217</v>
      </c>
      <c r="E32" s="23">
        <f t="shared" si="3"/>
        <v>200.00000000000006</v>
      </c>
    </row>
    <row r="33" spans="1:5">
      <c r="A33" s="33">
        <v>21</v>
      </c>
      <c r="B33" s="23">
        <f t="shared" si="5"/>
        <v>6971.3570363217768</v>
      </c>
      <c r="C33" s="23">
        <f t="shared" si="1"/>
        <v>160.58293376912596</v>
      </c>
      <c r="D33" s="23">
        <f t="shared" si="2"/>
        <v>39.417066230874092</v>
      </c>
      <c r="E33" s="23">
        <f t="shared" si="3"/>
        <v>200.00000000000006</v>
      </c>
    </row>
    <row r="34" spans="1:5">
      <c r="A34" s="33">
        <v>22</v>
      </c>
      <c r="B34" s="23">
        <f t="shared" si="5"/>
        <v>6810.7741025526511</v>
      </c>
      <c r="C34" s="23">
        <f t="shared" si="1"/>
        <v>161.49089302339269</v>
      </c>
      <c r="D34" s="23">
        <f t="shared" si="2"/>
        <v>38.50910697660737</v>
      </c>
      <c r="E34" s="23">
        <f t="shared" si="3"/>
        <v>200.00000000000006</v>
      </c>
    </row>
    <row r="35" spans="1:5">
      <c r="A35" s="33">
        <v>23</v>
      </c>
      <c r="B35" s="23">
        <f t="shared" si="5"/>
        <v>6649.2832095292588</v>
      </c>
      <c r="C35" s="23">
        <f t="shared" si="1"/>
        <v>162.40398601128885</v>
      </c>
      <c r="D35" s="23">
        <f t="shared" si="2"/>
        <v>37.596013988711192</v>
      </c>
      <c r="E35" s="23">
        <f t="shared" si="3"/>
        <v>200.00000000000006</v>
      </c>
    </row>
    <row r="36" spans="1:5">
      <c r="A36" s="35">
        <v>24</v>
      </c>
      <c r="B36" s="18">
        <f t="shared" si="5"/>
        <v>6486.8792235179699</v>
      </c>
      <c r="C36" s="18">
        <f t="shared" si="1"/>
        <v>163.32224175969083</v>
      </c>
      <c r="D36" s="18">
        <f t="shared" si="2"/>
        <v>36.677758240309217</v>
      </c>
      <c r="E36" s="18">
        <f t="shared" si="3"/>
        <v>200.00000000000006</v>
      </c>
    </row>
    <row r="37" spans="1:5">
      <c r="A37" s="32">
        <v>25</v>
      </c>
      <c r="B37" s="15">
        <f t="shared" si="5"/>
        <v>6323.5569817582791</v>
      </c>
      <c r="C37" s="15">
        <f t="shared" si="1"/>
        <v>164.24568945959706</v>
      </c>
      <c r="D37" s="15">
        <f t="shared" si="2"/>
        <v>35.754310540402997</v>
      </c>
      <c r="E37" s="15">
        <f t="shared" si="3"/>
        <v>200.00000000000006</v>
      </c>
    </row>
    <row r="38" spans="1:5">
      <c r="A38" s="33">
        <v>26</v>
      </c>
      <c r="B38" s="23">
        <f t="shared" si="5"/>
        <v>6159.311292298682</v>
      </c>
      <c r="C38" s="23">
        <f t="shared" si="1"/>
        <v>165.17435846705621</v>
      </c>
      <c r="D38" s="23">
        <f t="shared" si="2"/>
        <v>34.825641532943834</v>
      </c>
      <c r="E38" s="23">
        <f t="shared" si="3"/>
        <v>200.00000000000006</v>
      </c>
    </row>
    <row r="39" spans="1:5">
      <c r="A39" s="33">
        <v>27</v>
      </c>
      <c r="B39" s="23">
        <f t="shared" si="5"/>
        <v>5994.1369338316254</v>
      </c>
      <c r="C39" s="23">
        <f t="shared" si="1"/>
        <v>166.10827830410039</v>
      </c>
      <c r="D39" s="23">
        <f t="shared" si="2"/>
        <v>33.891721695899662</v>
      </c>
      <c r="E39" s="23">
        <f t="shared" si="3"/>
        <v>200.00000000000006</v>
      </c>
    </row>
    <row r="40" spans="1:5">
      <c r="A40" s="33">
        <v>28</v>
      </c>
      <c r="B40" s="23">
        <f t="shared" si="5"/>
        <v>5828.0286555275252</v>
      </c>
      <c r="C40" s="23">
        <f t="shared" si="1"/>
        <v>167.04747865968335</v>
      </c>
      <c r="D40" s="23">
        <f t="shared" si="2"/>
        <v>32.952521340316714</v>
      </c>
      <c r="E40" s="23">
        <f t="shared" si="3"/>
        <v>200.00000000000006</v>
      </c>
    </row>
    <row r="41" spans="1:5">
      <c r="A41" s="33">
        <v>29</v>
      </c>
      <c r="B41" s="23">
        <f t="shared" si="5"/>
        <v>5660.9811768678419</v>
      </c>
      <c r="C41" s="23">
        <f t="shared" si="1"/>
        <v>167.9919893906247</v>
      </c>
      <c r="D41" s="23">
        <f t="shared" si="2"/>
        <v>32.008010609375368</v>
      </c>
      <c r="E41" s="23">
        <f t="shared" si="3"/>
        <v>200.00000000000006</v>
      </c>
    </row>
    <row r="42" spans="1:5">
      <c r="A42" s="33">
        <v>30</v>
      </c>
      <c r="B42" s="23">
        <f t="shared" si="5"/>
        <v>5492.9891874772175</v>
      </c>
      <c r="C42" s="23">
        <f t="shared" si="1"/>
        <v>168.94184052255872</v>
      </c>
      <c r="D42" s="23">
        <f t="shared" si="2"/>
        <v>31.05815947744135</v>
      </c>
      <c r="E42" s="23">
        <f t="shared" si="3"/>
        <v>200.00000000000006</v>
      </c>
    </row>
    <row r="43" spans="1:5">
      <c r="A43" s="33">
        <v>31</v>
      </c>
      <c r="B43" s="23">
        <f t="shared" si="5"/>
        <v>5324.0473469546587</v>
      </c>
      <c r="C43" s="23">
        <f t="shared" si="1"/>
        <v>169.89706225088909</v>
      </c>
      <c r="D43" s="23">
        <f t="shared" si="2"/>
        <v>30.102937749110954</v>
      </c>
      <c r="E43" s="23">
        <f t="shared" si="3"/>
        <v>200.00000000000006</v>
      </c>
    </row>
    <row r="44" spans="1:5">
      <c r="A44" s="33">
        <v>32</v>
      </c>
      <c r="B44" s="23">
        <f t="shared" si="5"/>
        <v>5154.15028470377</v>
      </c>
      <c r="C44" s="23">
        <f t="shared" si="1"/>
        <v>170.85768494174866</v>
      </c>
      <c r="D44" s="23">
        <f t="shared" si="2"/>
        <v>29.142315058251402</v>
      </c>
      <c r="E44" s="23">
        <f t="shared" si="3"/>
        <v>200.00000000000006</v>
      </c>
    </row>
    <row r="45" spans="1:5">
      <c r="A45" s="33">
        <v>33</v>
      </c>
      <c r="B45" s="23">
        <f t="shared" si="5"/>
        <v>4983.2925997620214</v>
      </c>
      <c r="C45" s="23">
        <f t="shared" si="1"/>
        <v>171.82373913296476</v>
      </c>
      <c r="D45" s="23">
        <f t="shared" si="2"/>
        <v>28.176260867035285</v>
      </c>
      <c r="E45" s="23">
        <f t="shared" si="3"/>
        <v>200.00000000000006</v>
      </c>
    </row>
    <row r="46" spans="1:5">
      <c r="A46" s="33">
        <v>34</v>
      </c>
      <c r="B46" s="23">
        <f t="shared" si="5"/>
        <v>4811.4688606290565</v>
      </c>
      <c r="C46" s="23">
        <f t="shared" si="1"/>
        <v>172.79525553503015</v>
      </c>
      <c r="D46" s="23">
        <f t="shared" si="2"/>
        <v>27.20474446496992</v>
      </c>
      <c r="E46" s="23">
        <f t="shared" si="3"/>
        <v>200.00000000000006</v>
      </c>
    </row>
    <row r="47" spans="1:5">
      <c r="A47" s="33">
        <v>35</v>
      </c>
      <c r="B47" s="23">
        <f t="shared" si="5"/>
        <v>4638.6736050940262</v>
      </c>
      <c r="C47" s="23">
        <f t="shared" si="1"/>
        <v>173.77226503207908</v>
      </c>
      <c r="D47" s="23">
        <f t="shared" si="2"/>
        <v>26.227734967920991</v>
      </c>
      <c r="E47" s="23">
        <f t="shared" si="3"/>
        <v>200.00000000000006</v>
      </c>
    </row>
    <row r="48" spans="1:5">
      <c r="A48" s="35">
        <v>36</v>
      </c>
      <c r="B48" s="18">
        <f t="shared" si="5"/>
        <v>4464.9013400619469</v>
      </c>
      <c r="C48" s="18">
        <f t="shared" si="1"/>
        <v>174.75479868286919</v>
      </c>
      <c r="D48" s="18">
        <f t="shared" si="2"/>
        <v>25.245201317130874</v>
      </c>
      <c r="E48" s="18">
        <f t="shared" si="3"/>
        <v>200.00000000000006</v>
      </c>
    </row>
    <row r="49" spans="1:5">
      <c r="A49" s="34">
        <v>37</v>
      </c>
      <c r="B49" s="36">
        <f t="shared" si="5"/>
        <v>4290.1465413790775</v>
      </c>
      <c r="C49" s="36">
        <f t="shared" si="1"/>
        <v>175.74288772176882</v>
      </c>
      <c r="D49" s="36">
        <f t="shared" si="2"/>
        <v>24.257112278231226</v>
      </c>
      <c r="E49" s="36">
        <f t="shared" si="3"/>
        <v>200.00000000000006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58"/>
  <sheetViews>
    <sheetView workbookViewId="0">
      <selection activeCell="E18" sqref="E18"/>
    </sheetView>
  </sheetViews>
  <sheetFormatPr baseColWidth="10" defaultColWidth="9.140625" defaultRowHeight="12.75"/>
  <cols>
    <col min="1" max="2" width="14.42578125" style="46" customWidth="1"/>
    <col min="3" max="3" width="14.7109375" style="47" customWidth="1"/>
    <col min="4" max="4" width="13.7109375" style="47" customWidth="1"/>
    <col min="5" max="5" width="14" style="47" customWidth="1"/>
    <col min="6" max="6" width="12" style="47" customWidth="1"/>
    <col min="7" max="7" width="13.28515625" style="47" customWidth="1"/>
    <col min="8" max="16384" width="9.140625" style="47"/>
  </cols>
  <sheetData>
    <row r="1" spans="1:7" ht="15.75" customHeight="1">
      <c r="C1" s="62"/>
      <c r="D1" s="62"/>
      <c r="E1" s="62"/>
      <c r="F1" s="63" t="s">
        <v>11</v>
      </c>
      <c r="G1" s="64">
        <v>1000000</v>
      </c>
    </row>
    <row r="3" spans="1:7" ht="18.75" customHeight="1">
      <c r="C3" s="51" t="s">
        <v>6</v>
      </c>
      <c r="D3" s="52"/>
      <c r="E3" s="52"/>
      <c r="F3" s="52"/>
      <c r="G3" s="53"/>
    </row>
    <row r="4" spans="1:7" ht="27.75" customHeight="1">
      <c r="A4" s="55" t="s">
        <v>47</v>
      </c>
      <c r="B4" s="55" t="s">
        <v>46</v>
      </c>
      <c r="C4" s="54">
        <v>5</v>
      </c>
      <c r="D4" s="54">
        <v>10</v>
      </c>
      <c r="E4" s="54">
        <v>15</v>
      </c>
      <c r="F4" s="54">
        <v>20</v>
      </c>
      <c r="G4" s="54">
        <v>25</v>
      </c>
    </row>
    <row r="5" spans="1:7">
      <c r="A5" s="56">
        <v>0.03</v>
      </c>
      <c r="B5" s="57">
        <f>(1+A5)^(1/12)-1</f>
        <v>2.4662697723036864E-3</v>
      </c>
      <c r="C5" s="48">
        <f t="shared" ref="C5:G12" si="0">PV($B5,C$4*12,0,$G$1)</f>
        <v>-862608.78438416263</v>
      </c>
      <c r="D5" s="48">
        <f t="shared" si="0"/>
        <v>-744093.914896723</v>
      </c>
      <c r="E5" s="48">
        <f t="shared" si="0"/>
        <v>-641861.94739671482</v>
      </c>
      <c r="F5" s="48">
        <f t="shared" si="0"/>
        <v>-553675.75418633176</v>
      </c>
      <c r="G5" s="48">
        <f t="shared" si="0"/>
        <v>-477605.5692616562</v>
      </c>
    </row>
    <row r="6" spans="1:7">
      <c r="A6" s="58">
        <v>0.04</v>
      </c>
      <c r="B6" s="59">
        <f t="shared" ref="B6:B12" si="1">(1+A6)^(1/12)-1</f>
        <v>3.2737397821989145E-3</v>
      </c>
      <c r="C6" s="49">
        <f t="shared" si="0"/>
        <v>-821927.1067593497</v>
      </c>
      <c r="D6" s="49">
        <f t="shared" si="0"/>
        <v>-675564.16882579518</v>
      </c>
      <c r="E6" s="49">
        <f t="shared" si="0"/>
        <v>-555264.50271327072</v>
      </c>
      <c r="F6" s="49">
        <f t="shared" si="0"/>
        <v>-456386.94620128762</v>
      </c>
      <c r="G6" s="49">
        <f t="shared" si="0"/>
        <v>-375116.80225395935</v>
      </c>
    </row>
    <row r="7" spans="1:7">
      <c r="A7" s="58">
        <v>0.05</v>
      </c>
      <c r="B7" s="59">
        <f t="shared" si="1"/>
        <v>4.0741237836483535E-3</v>
      </c>
      <c r="C7" s="49">
        <f t="shared" si="0"/>
        <v>-783526.16646845476</v>
      </c>
      <c r="D7" s="49">
        <f t="shared" si="0"/>
        <v>-613913.25354075246</v>
      </c>
      <c r="E7" s="49">
        <f t="shared" si="0"/>
        <v>-481017.09809096227</v>
      </c>
      <c r="F7" s="49">
        <f t="shared" si="0"/>
        <v>-376889.48287299229</v>
      </c>
      <c r="G7" s="49">
        <f t="shared" si="0"/>
        <v>-295302.77169775398</v>
      </c>
    </row>
    <row r="8" spans="1:7">
      <c r="A8" s="58">
        <v>0.06</v>
      </c>
      <c r="B8" s="59">
        <f t="shared" si="1"/>
        <v>4.8675505653430484E-3</v>
      </c>
      <c r="C8" s="49">
        <f t="shared" si="0"/>
        <v>-747258.17286605458</v>
      </c>
      <c r="D8" s="49">
        <f t="shared" si="0"/>
        <v>-558394.77691511437</v>
      </c>
      <c r="E8" s="49">
        <f t="shared" si="0"/>
        <v>-417265.06073553656</v>
      </c>
      <c r="F8" s="49">
        <f t="shared" si="0"/>
        <v>-311804.72688608035</v>
      </c>
      <c r="G8" s="49">
        <f t="shared" si="0"/>
        <v>-232998.63050389153</v>
      </c>
    </row>
    <row r="9" spans="1:7">
      <c r="A9" s="58">
        <v>7.0000000000000007E-2</v>
      </c>
      <c r="B9" s="59">
        <f t="shared" si="1"/>
        <v>5.6541453874052738E-3</v>
      </c>
      <c r="C9" s="49">
        <f t="shared" si="0"/>
        <v>-712986.17948366853</v>
      </c>
      <c r="D9" s="49">
        <f t="shared" si="0"/>
        <v>-508349.29213471833</v>
      </c>
      <c r="E9" s="49">
        <f t="shared" si="0"/>
        <v>-362446.01964236022</v>
      </c>
      <c r="F9" s="49">
        <f t="shared" si="0"/>
        <v>-258419.00281386916</v>
      </c>
      <c r="G9" s="49">
        <f t="shared" si="0"/>
        <v>-184249.17752223997</v>
      </c>
    </row>
    <row r="10" spans="1:7">
      <c r="A10" s="58">
        <v>0.08</v>
      </c>
      <c r="B10" s="59">
        <f t="shared" si="1"/>
        <v>6.4340301100034303E-3</v>
      </c>
      <c r="C10" s="49">
        <f t="shared" si="0"/>
        <v>-680583.19703375374</v>
      </c>
      <c r="D10" s="49">
        <f t="shared" si="0"/>
        <v>-463193.48808468512</v>
      </c>
      <c r="E10" s="49">
        <f t="shared" si="0"/>
        <v>-315241.70496589091</v>
      </c>
      <c r="F10" s="49">
        <f t="shared" si="0"/>
        <v>-214548.20740405741</v>
      </c>
      <c r="G10" s="49">
        <f t="shared" si="0"/>
        <v>-146017.90491291424</v>
      </c>
    </row>
    <row r="11" spans="1:7">
      <c r="A11" s="58">
        <v>0.09</v>
      </c>
      <c r="B11" s="59">
        <f t="shared" si="1"/>
        <v>7.2073233161367156E-3</v>
      </c>
      <c r="C11" s="49">
        <f t="shared" si="0"/>
        <v>-649931.38629834715</v>
      </c>
      <c r="D11" s="49">
        <f t="shared" si="0"/>
        <v>-422410.80689569144</v>
      </c>
      <c r="E11" s="49">
        <f t="shared" si="0"/>
        <v>-274538.04131312011</v>
      </c>
      <c r="F11" s="49">
        <f t="shared" si="0"/>
        <v>-178430.88978226908</v>
      </c>
      <c r="G11" s="49">
        <f t="shared" si="0"/>
        <v>-115967.83555463773</v>
      </c>
    </row>
    <row r="12" spans="1:7">
      <c r="A12" s="60">
        <v>0.1</v>
      </c>
      <c r="B12" s="61">
        <f t="shared" si="1"/>
        <v>7.9741404289037643E-3</v>
      </c>
      <c r="C12" s="50">
        <f t="shared" si="0"/>
        <v>-620921.32305915421</v>
      </c>
      <c r="D12" s="50">
        <f t="shared" si="0"/>
        <v>-385543.28942953038</v>
      </c>
      <c r="E12" s="50">
        <f t="shared" si="0"/>
        <v>-239392.04936916247</v>
      </c>
      <c r="F12" s="50">
        <f t="shared" si="0"/>
        <v>-148643.6280241427</v>
      </c>
      <c r="G12" s="50">
        <f t="shared" si="0"/>
        <v>-92295.998177063462</v>
      </c>
    </row>
    <row r="13" spans="1:7">
      <c r="A13" s="47"/>
      <c r="B13" s="47"/>
    </row>
    <row r="14" spans="1:7">
      <c r="A14" s="46" t="s">
        <v>48</v>
      </c>
    </row>
    <row r="15" spans="1:7">
      <c r="B15" s="68" t="s">
        <v>42</v>
      </c>
      <c r="C15" s="47">
        <v>250</v>
      </c>
    </row>
    <row r="16" spans="1:7">
      <c r="B16" s="68" t="s">
        <v>49</v>
      </c>
      <c r="C16" s="47">
        <v>3</v>
      </c>
    </row>
    <row r="17" spans="2:6">
      <c r="B17" s="68" t="s">
        <v>47</v>
      </c>
      <c r="C17" s="65">
        <v>7.0000000000000007E-2</v>
      </c>
    </row>
    <row r="18" spans="2:6">
      <c r="B18" s="68" t="s">
        <v>46</v>
      </c>
      <c r="C18" s="66">
        <f>(1+C17)^(1/12)-1</f>
        <v>5.6541453874052738E-3</v>
      </c>
    </row>
    <row r="19" spans="2:6">
      <c r="B19" s="68" t="s">
        <v>50</v>
      </c>
      <c r="C19" s="67">
        <f>PV(C18,C16*12,-C15)</f>
        <v>8122.4531084020264</v>
      </c>
    </row>
    <row r="21" spans="2:6" ht="27" customHeight="1">
      <c r="B21" s="30" t="s">
        <v>51</v>
      </c>
      <c r="C21" s="30" t="s">
        <v>19</v>
      </c>
      <c r="D21" s="30" t="s">
        <v>39</v>
      </c>
      <c r="E21" s="30" t="s">
        <v>40</v>
      </c>
      <c r="F21" s="30" t="s">
        <v>42</v>
      </c>
    </row>
    <row r="22" spans="2:6">
      <c r="B22" s="72">
        <v>1</v>
      </c>
      <c r="C22" s="69">
        <f>C19</f>
        <v>8122.4531084020264</v>
      </c>
      <c r="D22" s="69">
        <f t="shared" ref="D22:D57" si="2">PPMT($C$18,B22,$C$16*12,-$C$19)</f>
        <v>204.07446922271305</v>
      </c>
      <c r="E22" s="69">
        <f t="shared" ref="E22:E57" si="3">IPMT($C$18,B22,$C$16*12,-$C$19)</f>
        <v>45.925530777286944</v>
      </c>
      <c r="F22" s="69">
        <f>D22+E22</f>
        <v>250</v>
      </c>
    </row>
    <row r="23" spans="2:6">
      <c r="B23" s="73">
        <v>2</v>
      </c>
      <c r="C23" s="70">
        <f>+C22-D22</f>
        <v>7918.3786391793137</v>
      </c>
      <c r="D23" s="70">
        <f t="shared" si="2"/>
        <v>205.22833594155583</v>
      </c>
      <c r="E23" s="70">
        <f t="shared" si="3"/>
        <v>44.771664058444166</v>
      </c>
      <c r="F23" s="70">
        <f t="shared" ref="F23:F57" si="4">D23+E23</f>
        <v>250</v>
      </c>
    </row>
    <row r="24" spans="2:6">
      <c r="B24" s="73">
        <v>3</v>
      </c>
      <c r="C24" s="70">
        <f t="shared" ref="C24:C58" si="5">+C23-D23</f>
        <v>7713.1503032377577</v>
      </c>
      <c r="D24" s="70">
        <f t="shared" si="2"/>
        <v>206.38872679058463</v>
      </c>
      <c r="E24" s="70">
        <f t="shared" si="3"/>
        <v>43.611273209415366</v>
      </c>
      <c r="F24" s="70">
        <f t="shared" si="4"/>
        <v>250</v>
      </c>
    </row>
    <row r="25" spans="2:6">
      <c r="B25" s="73">
        <v>4</v>
      </c>
      <c r="C25" s="70">
        <f t="shared" si="5"/>
        <v>7506.761576447173</v>
      </c>
      <c r="D25" s="70">
        <f t="shared" si="2"/>
        <v>207.55567865818011</v>
      </c>
      <c r="E25" s="70">
        <f t="shared" si="3"/>
        <v>42.444321341819901</v>
      </c>
      <c r="F25" s="70">
        <f t="shared" si="4"/>
        <v>250</v>
      </c>
    </row>
    <row r="26" spans="2:6">
      <c r="B26" s="73">
        <v>5</v>
      </c>
      <c r="C26" s="70">
        <f t="shared" si="5"/>
        <v>7299.2058977889928</v>
      </c>
      <c r="D26" s="70">
        <f t="shared" si="2"/>
        <v>208.72922864129501</v>
      </c>
      <c r="E26" s="70">
        <f t="shared" si="3"/>
        <v>41.270771358704998</v>
      </c>
      <c r="F26" s="70">
        <f t="shared" si="4"/>
        <v>250</v>
      </c>
    </row>
    <row r="27" spans="2:6">
      <c r="B27" s="73">
        <v>6</v>
      </c>
      <c r="C27" s="70">
        <f t="shared" si="5"/>
        <v>7090.476669147698</v>
      </c>
      <c r="D27" s="70">
        <f t="shared" si="2"/>
        <v>209.90941404663386</v>
      </c>
      <c r="E27" s="70">
        <f t="shared" si="3"/>
        <v>40.090585953366158</v>
      </c>
      <c r="F27" s="70">
        <f t="shared" si="4"/>
        <v>250</v>
      </c>
    </row>
    <row r="28" spans="2:6">
      <c r="B28" s="73">
        <v>7</v>
      </c>
      <c r="C28" s="70">
        <f t="shared" si="5"/>
        <v>6880.5672551010639</v>
      </c>
      <c r="D28" s="70">
        <f t="shared" si="2"/>
        <v>211.09627239183857</v>
      </c>
      <c r="E28" s="70">
        <f t="shared" si="3"/>
        <v>38.903727608161439</v>
      </c>
      <c r="F28" s="70">
        <f t="shared" si="4"/>
        <v>250</v>
      </c>
    </row>
    <row r="29" spans="2:6">
      <c r="B29" s="73">
        <v>8</v>
      </c>
      <c r="C29" s="70">
        <f t="shared" si="5"/>
        <v>6669.4709827092256</v>
      </c>
      <c r="D29" s="70">
        <f t="shared" si="2"/>
        <v>212.28984140668135</v>
      </c>
      <c r="E29" s="70">
        <f t="shared" si="3"/>
        <v>37.710158593318653</v>
      </c>
      <c r="F29" s="70">
        <f t="shared" si="4"/>
        <v>250</v>
      </c>
    </row>
    <row r="30" spans="2:6">
      <c r="B30" s="73">
        <v>9</v>
      </c>
      <c r="C30" s="70">
        <f t="shared" si="5"/>
        <v>6457.1811413025443</v>
      </c>
      <c r="D30" s="70">
        <f t="shared" si="2"/>
        <v>213.49015903426391</v>
      </c>
      <c r="E30" s="70">
        <f t="shared" si="3"/>
        <v>36.509840965736096</v>
      </c>
      <c r="F30" s="70">
        <f t="shared" si="4"/>
        <v>250</v>
      </c>
    </row>
    <row r="31" spans="2:6">
      <c r="B31" s="73">
        <v>10</v>
      </c>
      <c r="C31" s="70">
        <f t="shared" si="5"/>
        <v>6243.6909822682801</v>
      </c>
      <c r="D31" s="70">
        <f t="shared" si="2"/>
        <v>214.69726343222388</v>
      </c>
      <c r="E31" s="70">
        <f t="shared" si="3"/>
        <v>35.302736567776115</v>
      </c>
      <c r="F31" s="70">
        <f t="shared" si="4"/>
        <v>250</v>
      </c>
    </row>
    <row r="32" spans="2:6">
      <c r="B32" s="73">
        <v>11</v>
      </c>
      <c r="C32" s="70">
        <f t="shared" si="5"/>
        <v>6028.9937188360564</v>
      </c>
      <c r="D32" s="70">
        <f t="shared" si="2"/>
        <v>215.91119297394778</v>
      </c>
      <c r="E32" s="70">
        <f t="shared" si="3"/>
        <v>34.08880702605223</v>
      </c>
      <c r="F32" s="70">
        <f t="shared" si="4"/>
        <v>250</v>
      </c>
    </row>
    <row r="33" spans="2:6">
      <c r="B33" s="74">
        <v>12</v>
      </c>
      <c r="C33" s="71">
        <f t="shared" si="5"/>
        <v>5813.0825258621089</v>
      </c>
      <c r="D33" s="71">
        <f t="shared" si="2"/>
        <v>217.1319862497906</v>
      </c>
      <c r="E33" s="71">
        <f t="shared" si="3"/>
        <v>32.868013750209414</v>
      </c>
      <c r="F33" s="71">
        <f t="shared" si="4"/>
        <v>250</v>
      </c>
    </row>
    <row r="34" spans="2:6">
      <c r="B34" s="72">
        <v>13</v>
      </c>
      <c r="C34" s="69">
        <f t="shared" si="5"/>
        <v>5595.9505396123186</v>
      </c>
      <c r="D34" s="69">
        <f t="shared" si="2"/>
        <v>218.35968206830299</v>
      </c>
      <c r="E34" s="69">
        <f t="shared" si="3"/>
        <v>31.640317931697023</v>
      </c>
      <c r="F34" s="69">
        <f t="shared" si="4"/>
        <v>250</v>
      </c>
    </row>
    <row r="35" spans="2:6">
      <c r="B35" s="73">
        <v>14</v>
      </c>
      <c r="C35" s="70">
        <f t="shared" si="5"/>
        <v>5377.5908575440153</v>
      </c>
      <c r="D35" s="70">
        <f t="shared" si="2"/>
        <v>219.59431945746474</v>
      </c>
      <c r="E35" s="70">
        <f t="shared" si="3"/>
        <v>30.405680542535254</v>
      </c>
      <c r="F35" s="70">
        <f t="shared" si="4"/>
        <v>250</v>
      </c>
    </row>
    <row r="36" spans="2:6">
      <c r="B36" s="73">
        <v>15</v>
      </c>
      <c r="C36" s="70">
        <f t="shared" si="5"/>
        <v>5157.9965380865506</v>
      </c>
      <c r="D36" s="70">
        <f t="shared" si="2"/>
        <v>220.8359376659256</v>
      </c>
      <c r="E36" s="70">
        <f t="shared" si="3"/>
        <v>29.164062334074409</v>
      </c>
      <c r="F36" s="70">
        <f t="shared" si="4"/>
        <v>250</v>
      </c>
    </row>
    <row r="37" spans="2:6">
      <c r="B37" s="73">
        <v>16</v>
      </c>
      <c r="C37" s="70">
        <f t="shared" si="5"/>
        <v>4937.1606004206251</v>
      </c>
      <c r="D37" s="70">
        <f t="shared" si="2"/>
        <v>222.0845761642527</v>
      </c>
      <c r="E37" s="70">
        <f t="shared" si="3"/>
        <v>27.915423835747305</v>
      </c>
      <c r="F37" s="70">
        <f t="shared" si="4"/>
        <v>250</v>
      </c>
    </row>
    <row r="38" spans="2:6">
      <c r="B38" s="73">
        <v>17</v>
      </c>
      <c r="C38" s="70">
        <f t="shared" si="5"/>
        <v>4715.076024256372</v>
      </c>
      <c r="D38" s="70">
        <f t="shared" si="2"/>
        <v>223.34027464618563</v>
      </c>
      <c r="E38" s="70">
        <f t="shared" si="3"/>
        <v>26.659725353814377</v>
      </c>
      <c r="F38" s="70">
        <f t="shared" si="4"/>
        <v>250</v>
      </c>
    </row>
    <row r="39" spans="2:6">
      <c r="B39" s="73">
        <v>18</v>
      </c>
      <c r="C39" s="70">
        <f t="shared" si="5"/>
        <v>4491.7357496101868</v>
      </c>
      <c r="D39" s="70">
        <f t="shared" si="2"/>
        <v>224.60307302989818</v>
      </c>
      <c r="E39" s="70">
        <f t="shared" si="3"/>
        <v>25.396926970101827</v>
      </c>
      <c r="F39" s="70">
        <f t="shared" si="4"/>
        <v>250</v>
      </c>
    </row>
    <row r="40" spans="2:6">
      <c r="B40" s="73">
        <v>19</v>
      </c>
      <c r="C40" s="70">
        <f t="shared" si="5"/>
        <v>4267.1326765802887</v>
      </c>
      <c r="D40" s="70">
        <f t="shared" si="2"/>
        <v>225.87301145926725</v>
      </c>
      <c r="E40" s="70">
        <f t="shared" si="3"/>
        <v>24.126988540732761</v>
      </c>
      <c r="F40" s="70">
        <f t="shared" si="4"/>
        <v>250</v>
      </c>
    </row>
    <row r="41" spans="2:6">
      <c r="B41" s="73">
        <v>20</v>
      </c>
      <c r="C41" s="70">
        <f t="shared" si="5"/>
        <v>4041.2596651210215</v>
      </c>
      <c r="D41" s="70">
        <f t="shared" si="2"/>
        <v>227.15013030514899</v>
      </c>
      <c r="E41" s="70">
        <f t="shared" si="3"/>
        <v>22.849869694851009</v>
      </c>
      <c r="F41" s="70">
        <f t="shared" si="4"/>
        <v>250</v>
      </c>
    </row>
    <row r="42" spans="2:6">
      <c r="B42" s="73">
        <v>21</v>
      </c>
      <c r="C42" s="70">
        <f t="shared" si="5"/>
        <v>3814.1095348158724</v>
      </c>
      <c r="D42" s="70">
        <f t="shared" si="2"/>
        <v>228.43447016666235</v>
      </c>
      <c r="E42" s="70">
        <f t="shared" si="3"/>
        <v>21.56552983333766</v>
      </c>
      <c r="F42" s="70">
        <f t="shared" si="4"/>
        <v>250</v>
      </c>
    </row>
    <row r="43" spans="2:6">
      <c r="B43" s="73">
        <v>22</v>
      </c>
      <c r="C43" s="70">
        <f t="shared" si="5"/>
        <v>3585.6750646492101</v>
      </c>
      <c r="D43" s="70">
        <f t="shared" si="2"/>
        <v>229.72607187247957</v>
      </c>
      <c r="E43" s="70">
        <f t="shared" si="3"/>
        <v>20.273928127520438</v>
      </c>
      <c r="F43" s="70">
        <f t="shared" si="4"/>
        <v>250</v>
      </c>
    </row>
    <row r="44" spans="2:6">
      <c r="B44" s="73">
        <v>23</v>
      </c>
      <c r="C44" s="70">
        <f t="shared" si="5"/>
        <v>3355.9489927767304</v>
      </c>
      <c r="D44" s="70">
        <f t="shared" si="2"/>
        <v>231.02497648212406</v>
      </c>
      <c r="E44" s="70">
        <f t="shared" si="3"/>
        <v>18.975023517875929</v>
      </c>
      <c r="F44" s="70">
        <f t="shared" si="4"/>
        <v>250</v>
      </c>
    </row>
    <row r="45" spans="2:6">
      <c r="B45" s="74">
        <v>24</v>
      </c>
      <c r="C45" s="71">
        <f t="shared" si="5"/>
        <v>3124.9240162946062</v>
      </c>
      <c r="D45" s="71">
        <f t="shared" si="2"/>
        <v>232.33122528727591</v>
      </c>
      <c r="E45" s="71">
        <f t="shared" si="3"/>
        <v>17.668774712724094</v>
      </c>
      <c r="F45" s="71">
        <f t="shared" si="4"/>
        <v>250</v>
      </c>
    </row>
    <row r="46" spans="2:6">
      <c r="B46" s="72">
        <v>25</v>
      </c>
      <c r="C46" s="69">
        <f t="shared" si="5"/>
        <v>2892.5927910073301</v>
      </c>
      <c r="D46" s="69">
        <f t="shared" si="2"/>
        <v>233.64485981308414</v>
      </c>
      <c r="E46" s="69">
        <f t="shared" si="3"/>
        <v>16.355140186915861</v>
      </c>
      <c r="F46" s="69">
        <f t="shared" si="4"/>
        <v>250</v>
      </c>
    </row>
    <row r="47" spans="2:6">
      <c r="B47" s="73">
        <v>26</v>
      </c>
      <c r="C47" s="70">
        <f t="shared" si="5"/>
        <v>2658.9479311942459</v>
      </c>
      <c r="D47" s="70">
        <f t="shared" si="2"/>
        <v>234.96592181948722</v>
      </c>
      <c r="E47" s="70">
        <f t="shared" si="3"/>
        <v>15.034078180512788</v>
      </c>
      <c r="F47" s="70">
        <f t="shared" si="4"/>
        <v>250</v>
      </c>
    </row>
    <row r="48" spans="2:6">
      <c r="B48" s="73">
        <v>27</v>
      </c>
      <c r="C48" s="70">
        <f t="shared" si="5"/>
        <v>2423.9820093747585</v>
      </c>
      <c r="D48" s="70">
        <f t="shared" si="2"/>
        <v>236.29445330254035</v>
      </c>
      <c r="E48" s="70">
        <f t="shared" si="3"/>
        <v>13.705546697459647</v>
      </c>
      <c r="F48" s="70">
        <f t="shared" si="4"/>
        <v>250</v>
      </c>
    </row>
    <row r="49" spans="2:6">
      <c r="B49" s="73">
        <v>28</v>
      </c>
      <c r="C49" s="70">
        <f t="shared" si="5"/>
        <v>2187.6875560722183</v>
      </c>
      <c r="D49" s="70">
        <f t="shared" si="2"/>
        <v>237.63049649575035</v>
      </c>
      <c r="E49" s="70">
        <f t="shared" si="3"/>
        <v>12.36950350424965</v>
      </c>
      <c r="F49" s="70">
        <f t="shared" si="4"/>
        <v>250</v>
      </c>
    </row>
    <row r="50" spans="2:6">
      <c r="B50" s="73">
        <v>29</v>
      </c>
      <c r="C50" s="70">
        <f t="shared" si="5"/>
        <v>1950.057059576468</v>
      </c>
      <c r="D50" s="70">
        <f t="shared" si="2"/>
        <v>238.97409387141863</v>
      </c>
      <c r="E50" s="70">
        <f t="shared" si="3"/>
        <v>11.025906128581354</v>
      </c>
      <c r="F50" s="70">
        <f t="shared" si="4"/>
        <v>250</v>
      </c>
    </row>
    <row r="51" spans="2:6">
      <c r="B51" s="73">
        <v>30</v>
      </c>
      <c r="C51" s="70">
        <f t="shared" si="5"/>
        <v>1711.0829657050494</v>
      </c>
      <c r="D51" s="70">
        <f t="shared" si="2"/>
        <v>240.32528814199105</v>
      </c>
      <c r="E51" s="70">
        <f t="shared" si="3"/>
        <v>9.6747118580089495</v>
      </c>
      <c r="F51" s="70">
        <f t="shared" si="4"/>
        <v>250</v>
      </c>
    </row>
    <row r="52" spans="2:6">
      <c r="B52" s="73">
        <v>31</v>
      </c>
      <c r="C52" s="70">
        <f t="shared" si="5"/>
        <v>1470.7576775630585</v>
      </c>
      <c r="D52" s="70">
        <f t="shared" si="2"/>
        <v>241.68412226141595</v>
      </c>
      <c r="E52" s="70">
        <f t="shared" si="3"/>
        <v>8.3158777385840459</v>
      </c>
      <c r="F52" s="70">
        <f t="shared" si="4"/>
        <v>250</v>
      </c>
    </row>
    <row r="53" spans="2:6">
      <c r="B53" s="73">
        <v>32</v>
      </c>
      <c r="C53" s="70">
        <f t="shared" si="5"/>
        <v>1229.0735553016425</v>
      </c>
      <c r="D53" s="70">
        <f t="shared" si="2"/>
        <v>243.05063942650941</v>
      </c>
      <c r="E53" s="70">
        <f t="shared" si="3"/>
        <v>6.9493605734905799</v>
      </c>
      <c r="F53" s="70">
        <f t="shared" si="4"/>
        <v>250</v>
      </c>
    </row>
    <row r="54" spans="2:6">
      <c r="B54" s="73">
        <v>33</v>
      </c>
      <c r="C54" s="70">
        <f t="shared" si="5"/>
        <v>986.02291587513309</v>
      </c>
      <c r="D54" s="70">
        <f t="shared" si="2"/>
        <v>244.42488307832869</v>
      </c>
      <c r="E54" s="70">
        <f t="shared" si="3"/>
        <v>5.575116921671305</v>
      </c>
      <c r="F54" s="70">
        <f t="shared" si="4"/>
        <v>250</v>
      </c>
    </row>
    <row r="55" spans="2:6">
      <c r="B55" s="73">
        <v>34</v>
      </c>
      <c r="C55" s="70">
        <f t="shared" si="5"/>
        <v>741.59803279680443</v>
      </c>
      <c r="D55" s="70">
        <f t="shared" si="2"/>
        <v>245.80689690355308</v>
      </c>
      <c r="E55" s="70">
        <f t="shared" si="3"/>
        <v>4.1931030964469187</v>
      </c>
      <c r="F55" s="70">
        <f t="shared" si="4"/>
        <v>250</v>
      </c>
    </row>
    <row r="56" spans="2:6">
      <c r="B56" s="73">
        <v>35</v>
      </c>
      <c r="C56" s="70">
        <f t="shared" si="5"/>
        <v>495.79113589325135</v>
      </c>
      <c r="D56" s="70">
        <f t="shared" si="2"/>
        <v>247.19672483587271</v>
      </c>
      <c r="E56" s="70">
        <f t="shared" si="3"/>
        <v>2.8032751641272751</v>
      </c>
      <c r="F56" s="70">
        <f t="shared" si="4"/>
        <v>250</v>
      </c>
    </row>
    <row r="57" spans="2:6">
      <c r="B57" s="74">
        <v>36</v>
      </c>
      <c r="C57" s="71">
        <f t="shared" si="5"/>
        <v>248.59441105737864</v>
      </c>
      <c r="D57" s="71">
        <f t="shared" si="2"/>
        <v>248.5944110573852</v>
      </c>
      <c r="E57" s="71">
        <f t="shared" si="3"/>
        <v>1.4055889426147954</v>
      </c>
      <c r="F57" s="71">
        <f t="shared" si="4"/>
        <v>250</v>
      </c>
    </row>
    <row r="58" spans="2:6">
      <c r="C58" s="67">
        <f t="shared" si="5"/>
        <v>-6.5654148784233257E-12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311"/>
  <sheetViews>
    <sheetView workbookViewId="0">
      <pane ySplit="9" topLeftCell="A10" activePane="bottomLeft" state="frozenSplit"/>
      <selection pane="bottomLeft" activeCell="AA5" sqref="AA5"/>
    </sheetView>
  </sheetViews>
  <sheetFormatPr baseColWidth="10" defaultColWidth="9.140625" defaultRowHeight="12.75"/>
  <cols>
    <col min="1" max="1" width="18.42578125" style="3" customWidth="1"/>
    <col min="2" max="4" width="15.7109375" style="3" customWidth="1"/>
    <col min="5" max="6" width="9.140625" style="3"/>
    <col min="7" max="7" width="13.28515625" style="3" customWidth="1"/>
    <col min="8" max="8" width="9.140625" style="3"/>
    <col min="9" max="9" width="19.7109375" style="3" customWidth="1"/>
    <col min="10" max="10" width="10.7109375" style="3" customWidth="1"/>
    <col min="11" max="11" width="9.140625" style="3"/>
    <col min="12" max="12" width="19.5703125" style="3" customWidth="1"/>
    <col min="13" max="13" width="10.7109375" style="3" customWidth="1"/>
    <col min="14" max="14" width="9.140625" style="3"/>
    <col min="15" max="15" width="26.5703125" style="3" customWidth="1"/>
    <col min="16" max="17" width="9.140625" style="3"/>
    <col min="18" max="18" width="26.5703125" style="3" customWidth="1"/>
    <col min="19" max="20" width="9.140625" style="3"/>
    <col min="21" max="21" width="26.5703125" style="3" customWidth="1"/>
    <col min="22" max="23" width="9.140625" style="3"/>
    <col min="24" max="24" width="26.5703125" style="3" customWidth="1"/>
    <col min="25" max="25" width="10.140625" style="3" customWidth="1"/>
    <col min="26" max="16384" width="9.140625" style="3"/>
  </cols>
  <sheetData>
    <row r="1" spans="1:27" ht="18.75">
      <c r="A1" s="5" t="s">
        <v>12</v>
      </c>
      <c r="I1" s="46" t="s">
        <v>55</v>
      </c>
      <c r="L1" s="46" t="s">
        <v>12</v>
      </c>
      <c r="O1" s="46" t="s">
        <v>69</v>
      </c>
      <c r="R1" s="46" t="s">
        <v>70</v>
      </c>
      <c r="U1" s="46" t="s">
        <v>71</v>
      </c>
      <c r="X1" s="46" t="s">
        <v>74</v>
      </c>
    </row>
    <row r="2" spans="1:27">
      <c r="I2" s="86" t="s">
        <v>56</v>
      </c>
      <c r="J2" s="81">
        <v>10000</v>
      </c>
      <c r="L2" s="86" t="s">
        <v>59</v>
      </c>
      <c r="M2" s="81">
        <v>10000</v>
      </c>
      <c r="O2" s="26" t="s">
        <v>64</v>
      </c>
      <c r="P2" s="98">
        <v>150</v>
      </c>
      <c r="R2" s="26" t="s">
        <v>64</v>
      </c>
      <c r="S2" s="98">
        <v>500</v>
      </c>
      <c r="U2" s="26" t="s">
        <v>64</v>
      </c>
      <c r="V2" s="98">
        <v>150</v>
      </c>
      <c r="X2" s="26" t="s">
        <v>64</v>
      </c>
      <c r="Y2" s="98">
        <v>225</v>
      </c>
      <c r="AA2" s="3">
        <v>200</v>
      </c>
    </row>
    <row r="3" spans="1:27">
      <c r="A3" s="26" t="s">
        <v>33</v>
      </c>
      <c r="B3" s="77">
        <v>300000</v>
      </c>
      <c r="I3" s="87" t="s">
        <v>57</v>
      </c>
      <c r="J3" s="82">
        <v>1000000</v>
      </c>
      <c r="L3" s="87"/>
      <c r="M3" s="85"/>
      <c r="O3" s="27" t="s">
        <v>47</v>
      </c>
      <c r="P3" s="38">
        <v>3.5000000000000003E-2</v>
      </c>
      <c r="R3" s="27" t="s">
        <v>47</v>
      </c>
      <c r="S3" s="38">
        <v>0.06</v>
      </c>
      <c r="U3" s="27" t="s">
        <v>58</v>
      </c>
      <c r="V3" s="102">
        <v>3</v>
      </c>
      <c r="X3" s="27" t="s">
        <v>58</v>
      </c>
      <c r="Y3" s="102">
        <v>2</v>
      </c>
      <c r="AA3" s="6">
        <v>0.05</v>
      </c>
    </row>
    <row r="4" spans="1:27">
      <c r="A4" s="27" t="s">
        <v>22</v>
      </c>
      <c r="B4" s="78">
        <v>0.06</v>
      </c>
      <c r="C4" s="7"/>
      <c r="D4" s="7"/>
      <c r="I4" s="87" t="s">
        <v>47</v>
      </c>
      <c r="J4" s="83">
        <v>7.0000000000000007E-2</v>
      </c>
      <c r="K4" s="7"/>
      <c r="L4" s="88" t="s">
        <v>60</v>
      </c>
      <c r="M4" s="83">
        <v>0.1</v>
      </c>
      <c r="O4" s="27" t="s">
        <v>67</v>
      </c>
      <c r="P4" s="38">
        <f>(1+P3)^(1/12)-1</f>
        <v>2.8708987190766422E-3</v>
      </c>
      <c r="R4" s="27" t="s">
        <v>67</v>
      </c>
      <c r="S4" s="38">
        <f>(1+S3)^(1/12)-1</f>
        <v>4.8675505653430484E-3</v>
      </c>
      <c r="U4" s="27" t="s">
        <v>65</v>
      </c>
      <c r="V4" s="99">
        <v>20000</v>
      </c>
      <c r="X4" s="27" t="s">
        <v>65</v>
      </c>
      <c r="Y4" s="99"/>
      <c r="AA4" s="3">
        <v>1</v>
      </c>
    </row>
    <row r="5" spans="1:27">
      <c r="A5" s="27" t="s">
        <v>23</v>
      </c>
      <c r="B5" s="78">
        <f>(1+B4)^(1/12)-1</f>
        <v>4.8675505653430484E-3</v>
      </c>
      <c r="C5" s="7"/>
      <c r="D5" s="7"/>
      <c r="I5" s="87" t="s">
        <v>46</v>
      </c>
      <c r="J5" s="83">
        <f>(1+J4)^(1/12)-1</f>
        <v>5.6541453874052738E-3</v>
      </c>
      <c r="K5" s="7"/>
      <c r="L5" s="88" t="s">
        <v>46</v>
      </c>
      <c r="M5" s="83">
        <f>(1+M4)^(1/12)-1</f>
        <v>7.9741404289037643E-3</v>
      </c>
      <c r="O5" s="27" t="s">
        <v>65</v>
      </c>
      <c r="P5" s="99">
        <v>4500</v>
      </c>
      <c r="R5" s="27" t="s">
        <v>65</v>
      </c>
      <c r="S5" s="99"/>
      <c r="U5" s="28" t="s">
        <v>66</v>
      </c>
      <c r="V5" s="100">
        <v>10000</v>
      </c>
      <c r="X5" s="28" t="s">
        <v>66</v>
      </c>
      <c r="Y5" s="100">
        <v>5000</v>
      </c>
      <c r="AA5" s="11">
        <f>PV(AA3,AA4,,AA2)</f>
        <v>-190.47619047619048</v>
      </c>
    </row>
    <row r="6" spans="1:27">
      <c r="A6" s="27" t="s">
        <v>13</v>
      </c>
      <c r="B6" s="33">
        <v>25</v>
      </c>
      <c r="I6" s="89" t="s">
        <v>58</v>
      </c>
      <c r="J6" s="84">
        <v>30</v>
      </c>
      <c r="L6" s="89" t="s">
        <v>13</v>
      </c>
      <c r="M6" s="84">
        <v>5</v>
      </c>
      <c r="O6" s="28" t="s">
        <v>66</v>
      </c>
      <c r="P6" s="100">
        <v>500</v>
      </c>
      <c r="R6" s="28" t="s">
        <v>66</v>
      </c>
      <c r="S6" s="100">
        <v>10000</v>
      </c>
    </row>
    <row r="7" spans="1:27">
      <c r="A7" s="28" t="s">
        <v>14</v>
      </c>
      <c r="B7" s="79">
        <f>B6*12</f>
        <v>300</v>
      </c>
      <c r="C7" s="80">
        <f>CUMIPMT(B5,B6*12,B3,1,12,0)</f>
        <v>-17378.334923862931</v>
      </c>
      <c r="I7" s="92"/>
      <c r="J7" s="47"/>
      <c r="L7" s="90"/>
      <c r="M7" s="47"/>
      <c r="O7" s="75"/>
      <c r="R7" s="75"/>
      <c r="U7" s="29" t="s">
        <v>72</v>
      </c>
      <c r="V7" s="103">
        <f>RATE(V3*12,-V2,-V5,V4)</f>
        <v>8.7517037899249549E-3</v>
      </c>
      <c r="X7" s="29" t="s">
        <v>72</v>
      </c>
      <c r="Y7" s="103">
        <f>RATE(Y3*12,-Y2,Y5)</f>
        <v>6.2507465288862279E-3</v>
      </c>
    </row>
    <row r="8" spans="1:27">
      <c r="I8" s="91" t="s">
        <v>42</v>
      </c>
      <c r="J8" s="93">
        <f>PMT(J5,J6*12,-J2,J3)</f>
        <v>-790.00845949373172</v>
      </c>
      <c r="K8" s="11"/>
      <c r="L8" s="91" t="s">
        <v>42</v>
      </c>
      <c r="M8" s="93">
        <f>PMT(M5,M6*12,-M2,,1)</f>
        <v>208.69167891085496</v>
      </c>
      <c r="O8" s="29" t="s">
        <v>68</v>
      </c>
      <c r="P8" s="101">
        <f>NPER(P4,-P2,-P6,P5)</f>
        <v>25.496835203636675</v>
      </c>
      <c r="R8" s="29" t="s">
        <v>68</v>
      </c>
      <c r="S8" s="101">
        <f>NPER(S4,-S2,S6)</f>
        <v>21.092865050620919</v>
      </c>
      <c r="U8" s="91" t="s">
        <v>73</v>
      </c>
      <c r="V8" s="104">
        <f>(1+V7)^12-1</f>
        <v>0.1102259524119753</v>
      </c>
      <c r="X8" s="91" t="s">
        <v>73</v>
      </c>
      <c r="Y8" s="104">
        <f>(1+Y7)^12-1</f>
        <v>7.7642192740010829E-2</v>
      </c>
    </row>
    <row r="9" spans="1:27" ht="31.5">
      <c r="A9" s="76" t="s">
        <v>51</v>
      </c>
      <c r="B9" s="76" t="s">
        <v>52</v>
      </c>
      <c r="C9" s="76" t="s">
        <v>53</v>
      </c>
      <c r="D9" s="76" t="s">
        <v>54</v>
      </c>
    </row>
    <row r="10" spans="1:27">
      <c r="A10" s="32">
        <v>1</v>
      </c>
      <c r="B10" s="15">
        <f t="shared" ref="B10:B73" si="0">PMT($B$5,$B$7,$B$3)</f>
        <v>-1903.8625322954179</v>
      </c>
      <c r="C10" s="15">
        <f t="shared" ref="C10:C73" si="1">IPMT($B$5,$A10,$B$7,$B$3)</f>
        <v>-1460.2651696029145</v>
      </c>
      <c r="D10" s="15">
        <f t="shared" ref="D10:D73" si="2">PPMT($B$5,$A10,$B$7,$B$3)</f>
        <v>-443.59736269250334</v>
      </c>
      <c r="F10" s="80"/>
      <c r="L10" s="26" t="s">
        <v>62</v>
      </c>
      <c r="M10" s="96">
        <f>PPMT($M$5,1,$M$6*12,-$M$2)</f>
        <v>130.61441137579618</v>
      </c>
    </row>
    <row r="11" spans="1:27">
      <c r="A11" s="33">
        <v>2</v>
      </c>
      <c r="B11" s="23">
        <f t="shared" si="0"/>
        <v>-1903.8625322954179</v>
      </c>
      <c r="C11" s="23">
        <f t="shared" si="1"/>
        <v>-1458.105937009356</v>
      </c>
      <c r="D11" s="23">
        <f t="shared" si="2"/>
        <v>-445.75659528606184</v>
      </c>
      <c r="L11" s="28" t="s">
        <v>63</v>
      </c>
      <c r="M11" s="97">
        <f>PPMT($M$5,60,$M$6*12,-$M$2)</f>
        <v>208.69167891085496</v>
      </c>
    </row>
    <row r="12" spans="1:27">
      <c r="A12" s="33">
        <v>3</v>
      </c>
      <c r="B12" s="23">
        <f t="shared" si="0"/>
        <v>-1903.8625322954179</v>
      </c>
      <c r="C12" s="23">
        <f t="shared" si="1"/>
        <v>-1455.9361942419659</v>
      </c>
      <c r="D12" s="23">
        <f t="shared" si="2"/>
        <v>-447.9263380534519</v>
      </c>
    </row>
    <row r="13" spans="1:27">
      <c r="A13" s="33">
        <v>4</v>
      </c>
      <c r="B13" s="23">
        <f t="shared" si="0"/>
        <v>-1903.8625322954179</v>
      </c>
      <c r="C13" s="23">
        <f t="shared" si="1"/>
        <v>-1453.7558901419418</v>
      </c>
      <c r="D13" s="23">
        <f t="shared" si="2"/>
        <v>-450.10664215347606</v>
      </c>
    </row>
    <row r="14" spans="1:27">
      <c r="A14" s="33">
        <v>5</v>
      </c>
      <c r="B14" s="23">
        <f t="shared" si="0"/>
        <v>-1903.8625322954179</v>
      </c>
      <c r="C14" s="23">
        <f t="shared" si="1"/>
        <v>-1451.5649733014629</v>
      </c>
      <c r="D14" s="23">
        <f t="shared" si="2"/>
        <v>-452.29755899395491</v>
      </c>
    </row>
    <row r="15" spans="1:27">
      <c r="A15" s="33">
        <v>6</v>
      </c>
      <c r="B15" s="23">
        <f t="shared" si="0"/>
        <v>-1903.8625322954179</v>
      </c>
      <c r="C15" s="23">
        <f t="shared" si="1"/>
        <v>-1449.3633920624789</v>
      </c>
      <c r="D15" s="23">
        <f t="shared" si="2"/>
        <v>-454.499140232939</v>
      </c>
    </row>
    <row r="16" spans="1:27">
      <c r="A16" s="33">
        <v>7</v>
      </c>
      <c r="B16" s="23">
        <f t="shared" si="0"/>
        <v>-1903.8625322954179</v>
      </c>
      <c r="C16" s="23">
        <f t="shared" si="1"/>
        <v>-1447.1510945154898</v>
      </c>
      <c r="D16" s="23">
        <f t="shared" si="2"/>
        <v>-456.71143777992802</v>
      </c>
    </row>
    <row r="17" spans="1:4">
      <c r="A17" s="33">
        <v>8</v>
      </c>
      <c r="B17" s="23">
        <f t="shared" si="0"/>
        <v>-1903.8625322954179</v>
      </c>
      <c r="C17" s="23">
        <f t="shared" si="1"/>
        <v>-1444.9280284983256</v>
      </c>
      <c r="D17" s="23">
        <f t="shared" si="2"/>
        <v>-458.93450379709225</v>
      </c>
    </row>
    <row r="18" spans="1:4">
      <c r="A18" s="33">
        <v>9</v>
      </c>
      <c r="B18" s="23">
        <f t="shared" si="0"/>
        <v>-1903.8625322954179</v>
      </c>
      <c r="C18" s="23">
        <f t="shared" si="1"/>
        <v>-1442.6941415949125</v>
      </c>
      <c r="D18" s="23">
        <f t="shared" si="2"/>
        <v>-461.16839070050537</v>
      </c>
    </row>
    <row r="19" spans="1:4">
      <c r="A19" s="33">
        <v>10</v>
      </c>
      <c r="B19" s="23">
        <f t="shared" si="0"/>
        <v>-1903.8625322954179</v>
      </c>
      <c r="C19" s="23">
        <f t="shared" si="1"/>
        <v>-1440.4493811340399</v>
      </c>
      <c r="D19" s="23">
        <f t="shared" si="2"/>
        <v>-463.41315116137798</v>
      </c>
    </row>
    <row r="20" spans="1:4">
      <c r="A20" s="33">
        <v>11</v>
      </c>
      <c r="B20" s="23">
        <f t="shared" si="0"/>
        <v>-1903.8625322954179</v>
      </c>
      <c r="C20" s="23">
        <f t="shared" si="1"/>
        <v>-1438.1936941881168</v>
      </c>
      <c r="D20" s="23">
        <f t="shared" si="2"/>
        <v>-465.6688381073011</v>
      </c>
    </row>
    <row r="21" spans="1:4">
      <c r="A21" s="35">
        <v>12</v>
      </c>
      <c r="B21" s="18">
        <f t="shared" si="0"/>
        <v>-1903.8625322954179</v>
      </c>
      <c r="C21" s="18">
        <f t="shared" si="1"/>
        <v>-1435.9270275719248</v>
      </c>
      <c r="D21" s="18">
        <f t="shared" si="2"/>
        <v>-467.93550472349307</v>
      </c>
    </row>
    <row r="22" spans="1:4">
      <c r="A22" s="32">
        <v>13</v>
      </c>
      <c r="B22" s="15">
        <f t="shared" si="0"/>
        <v>-1903.8625322954179</v>
      </c>
      <c r="C22" s="15">
        <f t="shared" si="1"/>
        <v>-1433.6493278413641</v>
      </c>
      <c r="D22" s="15">
        <f t="shared" si="2"/>
        <v>-470.21320445405377</v>
      </c>
    </row>
    <row r="23" spans="1:4">
      <c r="A23" s="33">
        <v>14</v>
      </c>
      <c r="B23" s="23">
        <f t="shared" si="0"/>
        <v>-1903.8625322954179</v>
      </c>
      <c r="C23" s="23">
        <f t="shared" si="1"/>
        <v>-1431.360541292192</v>
      </c>
      <c r="D23" s="23">
        <f t="shared" si="2"/>
        <v>-472.50199100322584</v>
      </c>
    </row>
    <row r="24" spans="1:4">
      <c r="A24" s="33">
        <v>15</v>
      </c>
      <c r="B24" s="23">
        <f t="shared" si="0"/>
        <v>-1903.8625322954179</v>
      </c>
      <c r="C24" s="23">
        <f t="shared" si="1"/>
        <v>-1429.0606139587585</v>
      </c>
      <c r="D24" s="23">
        <f t="shared" si="2"/>
        <v>-474.80191833665936</v>
      </c>
    </row>
    <row r="25" spans="1:4">
      <c r="A25" s="33">
        <v>16</v>
      </c>
      <c r="B25" s="23">
        <f t="shared" si="0"/>
        <v>-1903.8625322954179</v>
      </c>
      <c r="C25" s="23">
        <f t="shared" si="1"/>
        <v>-1426.7494916127328</v>
      </c>
      <c r="D25" s="23">
        <f t="shared" si="2"/>
        <v>-477.1130406826851</v>
      </c>
    </row>
    <row r="26" spans="1:4">
      <c r="A26" s="33">
        <v>17</v>
      </c>
      <c r="B26" s="23">
        <f t="shared" si="0"/>
        <v>-1903.8625322954179</v>
      </c>
      <c r="C26" s="23">
        <f t="shared" si="1"/>
        <v>-1424.4271197618252</v>
      </c>
      <c r="D26" s="23">
        <f t="shared" si="2"/>
        <v>-479.43541253359263</v>
      </c>
    </row>
    <row r="27" spans="1:4">
      <c r="A27" s="33">
        <v>18</v>
      </c>
      <c r="B27" s="23">
        <f t="shared" si="0"/>
        <v>-1903.8625322954179</v>
      </c>
      <c r="C27" s="23">
        <f t="shared" si="1"/>
        <v>-1422.0934436485018</v>
      </c>
      <c r="D27" s="23">
        <f t="shared" si="2"/>
        <v>-481.76908864691609</v>
      </c>
    </row>
    <row r="28" spans="1:4">
      <c r="A28" s="33">
        <v>19</v>
      </c>
      <c r="B28" s="23">
        <f t="shared" si="0"/>
        <v>-1903.8625322954179</v>
      </c>
      <c r="C28" s="23">
        <f t="shared" si="1"/>
        <v>-1419.7484082486937</v>
      </c>
      <c r="D28" s="23">
        <f t="shared" si="2"/>
        <v>-484.1141240467241</v>
      </c>
    </row>
    <row r="29" spans="1:4">
      <c r="A29" s="33">
        <v>20</v>
      </c>
      <c r="B29" s="23">
        <f t="shared" si="0"/>
        <v>-1903.8625322954179</v>
      </c>
      <c r="C29" s="23">
        <f t="shared" si="1"/>
        <v>-1417.3919582704996</v>
      </c>
      <c r="D29" s="23">
        <f t="shared" si="2"/>
        <v>-486.47057402491828</v>
      </c>
    </row>
    <row r="30" spans="1:4">
      <c r="A30" s="33">
        <v>21</v>
      </c>
      <c r="B30" s="23">
        <f t="shared" si="0"/>
        <v>-1903.8625322954179</v>
      </c>
      <c r="C30" s="23">
        <f t="shared" si="1"/>
        <v>-1415.0240381528818</v>
      </c>
      <c r="D30" s="23">
        <f t="shared" si="2"/>
        <v>-488.83849414253609</v>
      </c>
    </row>
    <row r="31" spans="1:4">
      <c r="A31" s="33">
        <v>22</v>
      </c>
      <c r="B31" s="23">
        <f t="shared" si="0"/>
        <v>-1903.8625322954179</v>
      </c>
      <c r="C31" s="23">
        <f t="shared" si="1"/>
        <v>-1412.6445920643569</v>
      </c>
      <c r="D31" s="23">
        <f t="shared" si="2"/>
        <v>-491.21794023106099</v>
      </c>
    </row>
    <row r="32" spans="1:4">
      <c r="A32" s="33">
        <v>23</v>
      </c>
      <c r="B32" s="23">
        <f t="shared" si="0"/>
        <v>-1903.8625322954179</v>
      </c>
      <c r="C32" s="23">
        <f t="shared" si="1"/>
        <v>-1410.2535639016785</v>
      </c>
      <c r="D32" s="23">
        <f t="shared" si="2"/>
        <v>-493.60896839373936</v>
      </c>
    </row>
    <row r="33" spans="1:4">
      <c r="A33" s="35">
        <v>24</v>
      </c>
      <c r="B33" s="18">
        <f t="shared" si="0"/>
        <v>-1903.8625322954179</v>
      </c>
      <c r="C33" s="18">
        <f t="shared" si="1"/>
        <v>-1407.8508972885152</v>
      </c>
      <c r="D33" s="18">
        <f t="shared" si="2"/>
        <v>-496.01163500690268</v>
      </c>
    </row>
    <row r="34" spans="1:4">
      <c r="A34" s="32">
        <v>25</v>
      </c>
      <c r="B34" s="15">
        <f t="shared" si="0"/>
        <v>-1903.8625322954179</v>
      </c>
      <c r="C34" s="15">
        <f t="shared" si="1"/>
        <v>-1405.4365355741206</v>
      </c>
      <c r="D34" s="15">
        <f t="shared" si="2"/>
        <v>-498.42599672129722</v>
      </c>
    </row>
    <row r="35" spans="1:4">
      <c r="A35" s="33">
        <v>26</v>
      </c>
      <c r="B35" s="23">
        <f t="shared" si="0"/>
        <v>-1903.8625322954179</v>
      </c>
      <c r="C35" s="23">
        <f t="shared" si="1"/>
        <v>-1403.010421831998</v>
      </c>
      <c r="D35" s="23">
        <f t="shared" si="2"/>
        <v>-500.85211046341988</v>
      </c>
    </row>
    <row r="36" spans="1:4">
      <c r="A36" s="33">
        <v>27</v>
      </c>
      <c r="B36" s="23">
        <f t="shared" si="0"/>
        <v>-1903.8625322954179</v>
      </c>
      <c r="C36" s="23">
        <f t="shared" si="1"/>
        <v>-1400.5724988585584</v>
      </c>
      <c r="D36" s="23">
        <f t="shared" si="2"/>
        <v>-503.2900334368594</v>
      </c>
    </row>
    <row r="37" spans="1:4">
      <c r="A37" s="33">
        <v>28</v>
      </c>
      <c r="B37" s="23">
        <f t="shared" si="0"/>
        <v>-1903.8625322954179</v>
      </c>
      <c r="C37" s="23">
        <f t="shared" si="1"/>
        <v>-1398.1227091717715</v>
      </c>
      <c r="D37" s="23">
        <f t="shared" si="2"/>
        <v>-505.73982312364637</v>
      </c>
    </row>
    <row r="38" spans="1:4">
      <c r="A38" s="33">
        <v>29</v>
      </c>
      <c r="B38" s="23">
        <f t="shared" si="0"/>
        <v>-1903.8625322954179</v>
      </c>
      <c r="C38" s="23">
        <f t="shared" si="1"/>
        <v>-1395.6609950098093</v>
      </c>
      <c r="D38" s="23">
        <f t="shared" si="2"/>
        <v>-508.20153728560854</v>
      </c>
    </row>
    <row r="39" spans="1:4">
      <c r="A39" s="33">
        <v>30</v>
      </c>
      <c r="B39" s="23">
        <f t="shared" si="0"/>
        <v>-1903.8625322954179</v>
      </c>
      <c r="C39" s="23">
        <f t="shared" si="1"/>
        <v>-1393.1872983296867</v>
      </c>
      <c r="D39" s="23">
        <f t="shared" si="2"/>
        <v>-510.67523396573119</v>
      </c>
    </row>
    <row r="40" spans="1:4">
      <c r="A40" s="33">
        <v>31</v>
      </c>
      <c r="B40" s="23">
        <f t="shared" si="0"/>
        <v>-1903.8625322954179</v>
      </c>
      <c r="C40" s="23">
        <f t="shared" si="1"/>
        <v>-1390.70156080589</v>
      </c>
      <c r="D40" s="23">
        <f t="shared" si="2"/>
        <v>-513.16097148952781</v>
      </c>
    </row>
    <row r="41" spans="1:4">
      <c r="A41" s="33">
        <v>32</v>
      </c>
      <c r="B41" s="23">
        <f t="shared" si="0"/>
        <v>-1903.8625322954179</v>
      </c>
      <c r="C41" s="23">
        <f t="shared" si="1"/>
        <v>-1388.203723829004</v>
      </c>
      <c r="D41" s="23">
        <f t="shared" si="2"/>
        <v>-515.6588084664138</v>
      </c>
    </row>
    <row r="42" spans="1:4">
      <c r="A42" s="33">
        <v>33</v>
      </c>
      <c r="B42" s="23">
        <f t="shared" si="0"/>
        <v>-1903.8625322954179</v>
      </c>
      <c r="C42" s="23">
        <f t="shared" si="1"/>
        <v>-1385.6937285043293</v>
      </c>
      <c r="D42" s="23">
        <f t="shared" si="2"/>
        <v>-518.16880379108852</v>
      </c>
    </row>
    <row r="43" spans="1:4">
      <c r="A43" s="33">
        <v>34</v>
      </c>
      <c r="B43" s="23">
        <f t="shared" si="0"/>
        <v>-1903.8625322954179</v>
      </c>
      <c r="C43" s="23">
        <f t="shared" si="1"/>
        <v>-1383.1715156504929</v>
      </c>
      <c r="D43" s="23">
        <f t="shared" si="2"/>
        <v>-520.69101664492496</v>
      </c>
    </row>
    <row r="44" spans="1:4">
      <c r="A44" s="33">
        <v>35</v>
      </c>
      <c r="B44" s="23">
        <f t="shared" si="0"/>
        <v>-1903.8625322954179</v>
      </c>
      <c r="C44" s="23">
        <f t="shared" si="1"/>
        <v>-1380.6370257980536</v>
      </c>
      <c r="D44" s="23">
        <f t="shared" si="2"/>
        <v>-523.22550649736422</v>
      </c>
    </row>
    <row r="45" spans="1:4">
      <c r="A45" s="35">
        <v>36</v>
      </c>
      <c r="B45" s="18">
        <f t="shared" si="0"/>
        <v>-1903.8625322954179</v>
      </c>
      <c r="C45" s="18">
        <f t="shared" si="1"/>
        <v>-1378.0901991881008</v>
      </c>
      <c r="D45" s="18">
        <f t="shared" si="2"/>
        <v>-525.77233310731708</v>
      </c>
    </row>
    <row r="46" spans="1:4">
      <c r="A46" s="32">
        <v>37</v>
      </c>
      <c r="B46" s="15">
        <f t="shared" si="0"/>
        <v>-1903.8625322954179</v>
      </c>
      <c r="C46" s="15">
        <f t="shared" si="1"/>
        <v>-1375.5309757708424</v>
      </c>
      <c r="D46" s="15">
        <f t="shared" si="2"/>
        <v>-528.33155652457549</v>
      </c>
    </row>
    <row r="47" spans="1:4">
      <c r="A47" s="33">
        <v>38</v>
      </c>
      <c r="B47" s="23">
        <f t="shared" si="0"/>
        <v>-1903.8625322954179</v>
      </c>
      <c r="C47" s="23">
        <f t="shared" si="1"/>
        <v>-1372.9592952041926</v>
      </c>
      <c r="D47" s="23">
        <f t="shared" si="2"/>
        <v>-530.90323709122526</v>
      </c>
    </row>
    <row r="48" spans="1:4">
      <c r="A48" s="33">
        <v>39</v>
      </c>
      <c r="B48" s="23">
        <f t="shared" si="0"/>
        <v>-1903.8625322954179</v>
      </c>
      <c r="C48" s="23">
        <f t="shared" si="1"/>
        <v>-1370.3750968523466</v>
      </c>
      <c r="D48" s="23">
        <f t="shared" si="2"/>
        <v>-533.48743544307126</v>
      </c>
    </row>
    <row r="49" spans="1:4">
      <c r="A49" s="33">
        <v>40</v>
      </c>
      <c r="B49" s="23">
        <f t="shared" si="0"/>
        <v>-1903.8625322954179</v>
      </c>
      <c r="C49" s="23">
        <f t="shared" si="1"/>
        <v>-1367.7783197843521</v>
      </c>
      <c r="D49" s="23">
        <f t="shared" si="2"/>
        <v>-536.08421251106574</v>
      </c>
    </row>
    <row r="50" spans="1:4">
      <c r="A50" s="33">
        <v>41</v>
      </c>
      <c r="B50" s="23">
        <f t="shared" si="0"/>
        <v>-1903.8625322954179</v>
      </c>
      <c r="C50" s="23">
        <f t="shared" si="1"/>
        <v>-1365.1689027726725</v>
      </c>
      <c r="D50" s="23">
        <f t="shared" si="2"/>
        <v>-538.69362952274537</v>
      </c>
    </row>
    <row r="51" spans="1:4">
      <c r="A51" s="33">
        <v>42</v>
      </c>
      <c r="B51" s="23">
        <f t="shared" si="0"/>
        <v>-1903.8625322954179</v>
      </c>
      <c r="C51" s="23">
        <f t="shared" si="1"/>
        <v>-1362.5467842917421</v>
      </c>
      <c r="D51" s="23">
        <f t="shared" si="2"/>
        <v>-541.31574800367571</v>
      </c>
    </row>
    <row r="52" spans="1:4">
      <c r="A52" s="33">
        <v>43</v>
      </c>
      <c r="B52" s="23">
        <f t="shared" si="0"/>
        <v>-1903.8625322954179</v>
      </c>
      <c r="C52" s="23">
        <f t="shared" si="1"/>
        <v>-1359.911902516518</v>
      </c>
      <c r="D52" s="23">
        <f t="shared" si="2"/>
        <v>-543.95062977889984</v>
      </c>
    </row>
    <row r="53" spans="1:4">
      <c r="A53" s="33">
        <v>44</v>
      </c>
      <c r="B53" s="23">
        <f t="shared" si="0"/>
        <v>-1903.8625322954179</v>
      </c>
      <c r="C53" s="23">
        <f t="shared" si="1"/>
        <v>-1357.2641953210189</v>
      </c>
      <c r="D53" s="23">
        <f t="shared" si="2"/>
        <v>-546.59833697439899</v>
      </c>
    </row>
    <row r="54" spans="1:4">
      <c r="A54" s="33">
        <v>45</v>
      </c>
      <c r="B54" s="23">
        <f t="shared" si="0"/>
        <v>-1903.8625322954179</v>
      </c>
      <c r="C54" s="23">
        <f t="shared" si="1"/>
        <v>-1354.6036002768633</v>
      </c>
      <c r="D54" s="23">
        <f t="shared" si="2"/>
        <v>-549.25893201855456</v>
      </c>
    </row>
    <row r="55" spans="1:4">
      <c r="A55" s="33">
        <v>46</v>
      </c>
      <c r="B55" s="23">
        <f t="shared" si="0"/>
        <v>-1903.8625322954179</v>
      </c>
      <c r="C55" s="23">
        <f t="shared" si="1"/>
        <v>-1351.930054651797</v>
      </c>
      <c r="D55" s="23">
        <f t="shared" si="2"/>
        <v>-551.93247764362081</v>
      </c>
    </row>
    <row r="56" spans="1:4">
      <c r="A56" s="33">
        <v>47</v>
      </c>
      <c r="B56" s="23">
        <f t="shared" si="0"/>
        <v>-1903.8625322954179</v>
      </c>
      <c r="C56" s="23">
        <f t="shared" si="1"/>
        <v>-1349.2434954082114</v>
      </c>
      <c r="D56" s="23">
        <f t="shared" si="2"/>
        <v>-554.61903688720645</v>
      </c>
    </row>
    <row r="57" spans="1:4">
      <c r="A57" s="35">
        <v>48</v>
      </c>
      <c r="B57" s="18">
        <f t="shared" si="0"/>
        <v>-1903.8625322954179</v>
      </c>
      <c r="C57" s="18">
        <f t="shared" si="1"/>
        <v>-1346.5438592016612</v>
      </c>
      <c r="D57" s="18">
        <f t="shared" si="2"/>
        <v>-557.31867309375662</v>
      </c>
    </row>
    <row r="58" spans="1:4">
      <c r="A58" s="32">
        <v>49</v>
      </c>
      <c r="B58" s="15">
        <f t="shared" si="0"/>
        <v>-1903.8625322954179</v>
      </c>
      <c r="C58" s="15">
        <f t="shared" si="1"/>
        <v>-1343.8310823793672</v>
      </c>
      <c r="D58" s="15">
        <f t="shared" si="2"/>
        <v>-560.03144991605063</v>
      </c>
    </row>
    <row r="59" spans="1:4">
      <c r="A59" s="33">
        <v>50</v>
      </c>
      <c r="B59" s="23">
        <f t="shared" si="0"/>
        <v>-1903.8625322954179</v>
      </c>
      <c r="C59" s="23">
        <f t="shared" si="1"/>
        <v>-1341.1051009787184</v>
      </c>
      <c r="D59" s="23">
        <f t="shared" si="2"/>
        <v>-562.75743131669947</v>
      </c>
    </row>
    <row r="60" spans="1:4">
      <c r="A60" s="33">
        <v>51</v>
      </c>
      <c r="B60" s="23">
        <f t="shared" si="0"/>
        <v>-1903.8625322954179</v>
      </c>
      <c r="C60" s="23">
        <f t="shared" si="1"/>
        <v>-1338.3658507257619</v>
      </c>
      <c r="D60" s="23">
        <f t="shared" si="2"/>
        <v>-565.49668156965595</v>
      </c>
    </row>
    <row r="61" spans="1:4">
      <c r="A61" s="33">
        <v>52</v>
      </c>
      <c r="B61" s="23">
        <f t="shared" si="0"/>
        <v>-1903.8625322954179</v>
      </c>
      <c r="C61" s="23">
        <f t="shared" si="1"/>
        <v>-1335.6132670336876</v>
      </c>
      <c r="D61" s="23">
        <f t="shared" si="2"/>
        <v>-568.24926526173022</v>
      </c>
    </row>
    <row r="62" spans="1:4">
      <c r="A62" s="33">
        <v>53</v>
      </c>
      <c r="B62" s="23">
        <f t="shared" si="0"/>
        <v>-1903.8625322954179</v>
      </c>
      <c r="C62" s="23">
        <f t="shared" si="1"/>
        <v>-1332.8472850013075</v>
      </c>
      <c r="D62" s="23">
        <f t="shared" si="2"/>
        <v>-571.0152472941104</v>
      </c>
    </row>
    <row r="63" spans="1:4">
      <c r="A63" s="33">
        <v>54</v>
      </c>
      <c r="B63" s="23">
        <f t="shared" si="0"/>
        <v>-1903.8625322954179</v>
      </c>
      <c r="C63" s="23">
        <f t="shared" si="1"/>
        <v>-1330.0678394115214</v>
      </c>
      <c r="D63" s="23">
        <f t="shared" si="2"/>
        <v>-573.79469288389646</v>
      </c>
    </row>
    <row r="64" spans="1:4">
      <c r="A64" s="33">
        <v>55</v>
      </c>
      <c r="B64" s="23">
        <f t="shared" si="0"/>
        <v>-1903.8625322954179</v>
      </c>
      <c r="C64" s="23">
        <f t="shared" si="1"/>
        <v>-1327.2748647297835</v>
      </c>
      <c r="D64" s="23">
        <f t="shared" si="2"/>
        <v>-576.58766756563432</v>
      </c>
    </row>
    <row r="65" spans="1:4">
      <c r="A65" s="33">
        <v>56</v>
      </c>
      <c r="B65" s="23">
        <f t="shared" si="0"/>
        <v>-1903.8625322954179</v>
      </c>
      <c r="C65" s="23">
        <f t="shared" si="1"/>
        <v>-1324.4682951025547</v>
      </c>
      <c r="D65" s="23">
        <f t="shared" si="2"/>
        <v>-579.3942371928631</v>
      </c>
    </row>
    <row r="66" spans="1:4">
      <c r="A66" s="33">
        <v>57</v>
      </c>
      <c r="B66" s="23">
        <f t="shared" si="0"/>
        <v>-1903.8625322954179</v>
      </c>
      <c r="C66" s="23">
        <f t="shared" si="1"/>
        <v>-1321.6480643557497</v>
      </c>
      <c r="D66" s="23">
        <f t="shared" si="2"/>
        <v>-582.21446793966811</v>
      </c>
    </row>
    <row r="67" spans="1:4">
      <c r="A67" s="33">
        <v>58</v>
      </c>
      <c r="B67" s="23">
        <f t="shared" si="0"/>
        <v>-1903.8625322954179</v>
      </c>
      <c r="C67" s="23">
        <f t="shared" si="1"/>
        <v>-1318.8141059931791</v>
      </c>
      <c r="D67" s="23">
        <f t="shared" si="2"/>
        <v>-585.04842630223879</v>
      </c>
    </row>
    <row r="68" spans="1:4">
      <c r="A68" s="33">
        <v>59</v>
      </c>
      <c r="B68" s="23">
        <f t="shared" si="0"/>
        <v>-1903.8625322954179</v>
      </c>
      <c r="C68" s="23">
        <f t="shared" si="1"/>
        <v>-1315.9663531949786</v>
      </c>
      <c r="D68" s="23">
        <f t="shared" si="2"/>
        <v>-587.89617910043921</v>
      </c>
    </row>
    <row r="69" spans="1:4">
      <c r="A69" s="35">
        <v>60</v>
      </c>
      <c r="B69" s="18">
        <f t="shared" si="0"/>
        <v>-1903.8625322954179</v>
      </c>
      <c r="C69" s="18">
        <f t="shared" si="1"/>
        <v>-1313.1047388160353</v>
      </c>
      <c r="D69" s="18">
        <f t="shared" si="2"/>
        <v>-590.7577934793826</v>
      </c>
    </row>
    <row r="70" spans="1:4">
      <c r="A70" s="32">
        <v>61</v>
      </c>
      <c r="B70" s="15">
        <f t="shared" si="0"/>
        <v>-1903.8625322954179</v>
      </c>
      <c r="C70" s="15">
        <f t="shared" si="1"/>
        <v>-1310.2291953844035</v>
      </c>
      <c r="D70" s="15">
        <f t="shared" si="2"/>
        <v>-593.63333691101434</v>
      </c>
    </row>
    <row r="71" spans="1:4">
      <c r="A71" s="33">
        <v>62</v>
      </c>
      <c r="B71" s="23">
        <f t="shared" si="0"/>
        <v>-1903.8625322954179</v>
      </c>
      <c r="C71" s="23">
        <f t="shared" si="1"/>
        <v>-1307.3396550997161</v>
      </c>
      <c r="D71" s="23">
        <f t="shared" si="2"/>
        <v>-596.52287719570177</v>
      </c>
    </row>
    <row r="72" spans="1:4">
      <c r="A72" s="33">
        <v>63</v>
      </c>
      <c r="B72" s="23">
        <f t="shared" si="0"/>
        <v>-1903.8625322954179</v>
      </c>
      <c r="C72" s="23">
        <f t="shared" si="1"/>
        <v>-1304.4360498315823</v>
      </c>
      <c r="D72" s="23">
        <f t="shared" si="2"/>
        <v>-599.42648246383555</v>
      </c>
    </row>
    <row r="73" spans="1:4">
      <c r="A73" s="33">
        <v>64</v>
      </c>
      <c r="B73" s="23">
        <f t="shared" si="0"/>
        <v>-1903.8625322954179</v>
      </c>
      <c r="C73" s="23">
        <f t="shared" si="1"/>
        <v>-1301.5183111179838</v>
      </c>
      <c r="D73" s="23">
        <f t="shared" si="2"/>
        <v>-602.34422117743406</v>
      </c>
    </row>
    <row r="74" spans="1:4">
      <c r="A74" s="33">
        <v>65</v>
      </c>
      <c r="B74" s="23">
        <f t="shared" ref="B74:B137" si="3">PMT($B$5,$B$7,$B$3)</f>
        <v>-1903.8625322954179</v>
      </c>
      <c r="C74" s="23">
        <f t="shared" ref="C74:C137" si="4">IPMT($B$5,$A74,$B$7,$B$3)</f>
        <v>-1298.5863701636601</v>
      </c>
      <c r="D74" s="23">
        <f t="shared" ref="D74:D137" si="5">PPMT($B$5,$A74,$B$7,$B$3)</f>
        <v>-605.2761621317577</v>
      </c>
    </row>
    <row r="75" spans="1:4">
      <c r="A75" s="33">
        <v>66</v>
      </c>
      <c r="B75" s="23">
        <f t="shared" si="3"/>
        <v>-1903.8625322954179</v>
      </c>
      <c r="C75" s="23">
        <f t="shared" si="4"/>
        <v>-1295.6401578384873</v>
      </c>
      <c r="D75" s="23">
        <f t="shared" si="5"/>
        <v>-608.22237445693054</v>
      </c>
    </row>
    <row r="76" spans="1:4">
      <c r="A76" s="33">
        <v>67</v>
      </c>
      <c r="B76" s="23">
        <f t="shared" si="3"/>
        <v>-1903.8625322954179</v>
      </c>
      <c r="C76" s="23">
        <f t="shared" si="4"/>
        <v>-1292.6796046758452</v>
      </c>
      <c r="D76" s="23">
        <f t="shared" si="5"/>
        <v>-611.18292761957264</v>
      </c>
    </row>
    <row r="77" spans="1:4">
      <c r="A77" s="33">
        <v>68</v>
      </c>
      <c r="B77" s="23">
        <f t="shared" si="3"/>
        <v>-1903.8625322954179</v>
      </c>
      <c r="C77" s="23">
        <f t="shared" si="4"/>
        <v>-1289.7046408709828</v>
      </c>
      <c r="D77" s="23">
        <f t="shared" si="5"/>
        <v>-614.15789142443509</v>
      </c>
    </row>
    <row r="78" spans="1:4">
      <c r="A78" s="33">
        <v>69</v>
      </c>
      <c r="B78" s="23">
        <f t="shared" si="3"/>
        <v>-1903.8625322954179</v>
      </c>
      <c r="C78" s="23">
        <f t="shared" si="4"/>
        <v>-1286.7151962793691</v>
      </c>
      <c r="D78" s="23">
        <f t="shared" si="5"/>
        <v>-617.14733601604871</v>
      </c>
    </row>
    <row r="79" spans="1:4">
      <c r="A79" s="33">
        <v>70</v>
      </c>
      <c r="B79" s="23">
        <f t="shared" si="3"/>
        <v>-1903.8625322954179</v>
      </c>
      <c r="C79" s="23">
        <f t="shared" si="4"/>
        <v>-1283.7112004150447</v>
      </c>
      <c r="D79" s="23">
        <f t="shared" si="5"/>
        <v>-620.15133188037316</v>
      </c>
    </row>
    <row r="80" spans="1:4">
      <c r="A80" s="33">
        <v>71</v>
      </c>
      <c r="B80" s="23">
        <f t="shared" si="3"/>
        <v>-1903.8625322954179</v>
      </c>
      <c r="C80" s="23">
        <f t="shared" si="4"/>
        <v>-1280.6925824489517</v>
      </c>
      <c r="D80" s="23">
        <f t="shared" si="5"/>
        <v>-623.16994984646612</v>
      </c>
    </row>
    <row r="81" spans="1:4">
      <c r="A81" s="35">
        <v>72</v>
      </c>
      <c r="B81" s="18">
        <f t="shared" si="3"/>
        <v>-1903.8625322954179</v>
      </c>
      <c r="C81" s="18">
        <f t="shared" si="4"/>
        <v>-1277.6592712072722</v>
      </c>
      <c r="D81" s="18">
        <f t="shared" si="5"/>
        <v>-626.20326108814561</v>
      </c>
    </row>
    <row r="82" spans="1:4">
      <c r="A82" s="32">
        <v>73</v>
      </c>
      <c r="B82" s="15">
        <f t="shared" si="3"/>
        <v>-1903.8625322954179</v>
      </c>
      <c r="C82" s="15">
        <f t="shared" si="4"/>
        <v>-1274.6111951697428</v>
      </c>
      <c r="D82" s="15">
        <f t="shared" si="5"/>
        <v>-629.25133712567504</v>
      </c>
    </row>
    <row r="83" spans="1:4">
      <c r="A83" s="33">
        <v>74</v>
      </c>
      <c r="B83" s="23">
        <f t="shared" si="3"/>
        <v>-1903.8625322954179</v>
      </c>
      <c r="C83" s="23">
        <f t="shared" si="4"/>
        <v>-1271.5482824679734</v>
      </c>
      <c r="D83" s="23">
        <f t="shared" si="5"/>
        <v>-632.31424982744443</v>
      </c>
    </row>
    <row r="84" spans="1:4">
      <c r="A84" s="33">
        <v>75</v>
      </c>
      <c r="B84" s="23">
        <f t="shared" si="3"/>
        <v>-1903.8625322954179</v>
      </c>
      <c r="C84" s="23">
        <f t="shared" si="4"/>
        <v>-1268.4704608837515</v>
      </c>
      <c r="D84" s="23">
        <f t="shared" si="5"/>
        <v>-635.39207141166639</v>
      </c>
    </row>
    <row r="85" spans="1:4">
      <c r="A85" s="33">
        <v>76</v>
      </c>
      <c r="B85" s="23">
        <f t="shared" si="3"/>
        <v>-1903.8625322954179</v>
      </c>
      <c r="C85" s="23">
        <f t="shared" si="4"/>
        <v>-1265.3776578473371</v>
      </c>
      <c r="D85" s="23">
        <f t="shared" si="5"/>
        <v>-638.48487444808075</v>
      </c>
    </row>
    <row r="86" spans="1:4">
      <c r="A86" s="33">
        <v>77</v>
      </c>
      <c r="B86" s="23">
        <f t="shared" si="3"/>
        <v>-1903.8625322954179</v>
      </c>
      <c r="C86" s="23">
        <f t="shared" si="4"/>
        <v>-1262.2698004357544</v>
      </c>
      <c r="D86" s="23">
        <f t="shared" si="5"/>
        <v>-641.59273185966344</v>
      </c>
    </row>
    <row r="87" spans="1:4">
      <c r="A87" s="33">
        <v>78</v>
      </c>
      <c r="B87" s="23">
        <f t="shared" si="3"/>
        <v>-1903.8625322954179</v>
      </c>
      <c r="C87" s="23">
        <f t="shared" si="4"/>
        <v>-1259.1468153710709</v>
      </c>
      <c r="D87" s="23">
        <f t="shared" si="5"/>
        <v>-644.71571692434691</v>
      </c>
    </row>
    <row r="88" spans="1:4">
      <c r="A88" s="33">
        <v>79</v>
      </c>
      <c r="B88" s="23">
        <f t="shared" si="3"/>
        <v>-1903.8625322954179</v>
      </c>
      <c r="C88" s="23">
        <f t="shared" si="4"/>
        <v>-1256.00862901867</v>
      </c>
      <c r="D88" s="23">
        <f t="shared" si="5"/>
        <v>-647.85390327674781</v>
      </c>
    </row>
    <row r="89" spans="1:4">
      <c r="A89" s="33">
        <v>80</v>
      </c>
      <c r="B89" s="23">
        <f t="shared" si="3"/>
        <v>-1903.8625322954179</v>
      </c>
      <c r="C89" s="23">
        <f t="shared" si="4"/>
        <v>-1252.8551673855159</v>
      </c>
      <c r="D89" s="23">
        <f t="shared" si="5"/>
        <v>-651.00736490990198</v>
      </c>
    </row>
    <row r="90" spans="1:4">
      <c r="A90" s="33">
        <v>81</v>
      </c>
      <c r="B90" s="23">
        <f t="shared" si="3"/>
        <v>-1903.8625322954179</v>
      </c>
      <c r="C90" s="23">
        <f t="shared" si="4"/>
        <v>-1249.6863561184059</v>
      </c>
      <c r="D90" s="23">
        <f t="shared" si="5"/>
        <v>-654.17617617701194</v>
      </c>
    </row>
    <row r="91" spans="1:4">
      <c r="A91" s="33">
        <v>82</v>
      </c>
      <c r="B91" s="23">
        <f t="shared" si="3"/>
        <v>-1903.8625322954179</v>
      </c>
      <c r="C91" s="23">
        <f t="shared" si="4"/>
        <v>-1246.5021205022219</v>
      </c>
      <c r="D91" s="23">
        <f t="shared" si="5"/>
        <v>-657.36041179319591</v>
      </c>
    </row>
    <row r="92" spans="1:4">
      <c r="A92" s="33">
        <v>83</v>
      </c>
      <c r="B92" s="23">
        <f t="shared" si="3"/>
        <v>-1903.8625322954179</v>
      </c>
      <c r="C92" s="23">
        <f t="shared" si="4"/>
        <v>-1243.3023854581634</v>
      </c>
      <c r="D92" s="23">
        <f t="shared" si="5"/>
        <v>-660.56014683725448</v>
      </c>
    </row>
    <row r="93" spans="1:4">
      <c r="A93" s="35">
        <v>84</v>
      </c>
      <c r="B93" s="18">
        <f t="shared" si="3"/>
        <v>-1903.8625322954179</v>
      </c>
      <c r="C93" s="18">
        <f t="shared" si="4"/>
        <v>-1240.087075541983</v>
      </c>
      <c r="D93" s="18">
        <f t="shared" si="5"/>
        <v>-663.77545675343481</v>
      </c>
    </row>
    <row r="94" spans="1:4">
      <c r="A94" s="32">
        <v>85</v>
      </c>
      <c r="B94" s="15">
        <f t="shared" si="3"/>
        <v>-1903.8625322954179</v>
      </c>
      <c r="C94" s="15">
        <f t="shared" si="4"/>
        <v>-1236.8561149422017</v>
      </c>
      <c r="D94" s="15">
        <f t="shared" si="5"/>
        <v>-667.00641735321619</v>
      </c>
    </row>
    <row r="95" spans="1:4">
      <c r="A95" s="33">
        <v>86</v>
      </c>
      <c r="B95" s="23">
        <f t="shared" si="3"/>
        <v>-1903.8625322954179</v>
      </c>
      <c r="C95" s="23">
        <f t="shared" si="4"/>
        <v>-1233.6094274783266</v>
      </c>
      <c r="D95" s="23">
        <f t="shared" si="5"/>
        <v>-670.2531048170913</v>
      </c>
    </row>
    <row r="96" spans="1:4">
      <c r="A96" s="33">
        <v>87</v>
      </c>
      <c r="B96" s="23">
        <f t="shared" si="3"/>
        <v>-1903.8625322954179</v>
      </c>
      <c r="C96" s="23">
        <f t="shared" si="4"/>
        <v>-1230.3469365990511</v>
      </c>
      <c r="D96" s="23">
        <f t="shared" si="5"/>
        <v>-673.51559569636674</v>
      </c>
    </row>
    <row r="97" spans="1:4">
      <c r="A97" s="33">
        <v>88</v>
      </c>
      <c r="B97" s="23">
        <f t="shared" si="3"/>
        <v>-1903.8625322954179</v>
      </c>
      <c r="C97" s="23">
        <f t="shared" si="4"/>
        <v>-1227.0685653804519</v>
      </c>
      <c r="D97" s="23">
        <f t="shared" si="5"/>
        <v>-676.79396691496595</v>
      </c>
    </row>
    <row r="98" spans="1:4">
      <c r="A98" s="33">
        <v>89</v>
      </c>
      <c r="B98" s="23">
        <f t="shared" si="3"/>
        <v>-1903.8625322954179</v>
      </c>
      <c r="C98" s="23">
        <f t="shared" si="4"/>
        <v>-1223.7742365241741</v>
      </c>
      <c r="D98" s="23">
        <f t="shared" si="5"/>
        <v>-680.08829577124379</v>
      </c>
    </row>
    <row r="99" spans="1:4">
      <c r="A99" s="33">
        <v>90</v>
      </c>
      <c r="B99" s="23">
        <f t="shared" si="3"/>
        <v>-1903.8625322954179</v>
      </c>
      <c r="C99" s="23">
        <f t="shared" si="4"/>
        <v>-1220.4638723556097</v>
      </c>
      <c r="D99" s="23">
        <f t="shared" si="5"/>
        <v>-683.39865993980811</v>
      </c>
    </row>
    <row r="100" spans="1:4">
      <c r="A100" s="33">
        <v>91</v>
      </c>
      <c r="B100" s="23">
        <f t="shared" si="3"/>
        <v>-1903.8625322954179</v>
      </c>
      <c r="C100" s="23">
        <f t="shared" si="4"/>
        <v>-1217.1373948220646</v>
      </c>
      <c r="D100" s="23">
        <f t="shared" si="5"/>
        <v>-686.72513747335324</v>
      </c>
    </row>
    <row r="101" spans="1:4">
      <c r="A101" s="33">
        <v>92</v>
      </c>
      <c r="B101" s="23">
        <f t="shared" si="3"/>
        <v>-1903.8625322954179</v>
      </c>
      <c r="C101" s="23">
        <f t="shared" si="4"/>
        <v>-1213.7947254909213</v>
      </c>
      <c r="D101" s="23">
        <f t="shared" si="5"/>
        <v>-690.06780680449651</v>
      </c>
    </row>
    <row r="102" spans="1:4">
      <c r="A102" s="33">
        <v>93</v>
      </c>
      <c r="B102" s="23">
        <f t="shared" si="3"/>
        <v>-1903.8625322954179</v>
      </c>
      <c r="C102" s="23">
        <f t="shared" si="4"/>
        <v>-1210.4357855477847</v>
      </c>
      <c r="D102" s="23">
        <f t="shared" si="5"/>
        <v>-693.42674674763316</v>
      </c>
    </row>
    <row r="103" spans="1:4">
      <c r="A103" s="33">
        <v>94</v>
      </c>
      <c r="B103" s="23">
        <f t="shared" si="3"/>
        <v>-1903.8625322954179</v>
      </c>
      <c r="C103" s="23">
        <f t="shared" si="4"/>
        <v>-1207.0604957946296</v>
      </c>
      <c r="D103" s="23">
        <f t="shared" si="5"/>
        <v>-696.80203650078829</v>
      </c>
    </row>
    <row r="104" spans="1:4">
      <c r="A104" s="33">
        <v>95</v>
      </c>
      <c r="B104" s="23">
        <f t="shared" si="3"/>
        <v>-1903.8625322954179</v>
      </c>
      <c r="C104" s="23">
        <f t="shared" si="4"/>
        <v>-1203.6687766479279</v>
      </c>
      <c r="D104" s="23">
        <f t="shared" si="5"/>
        <v>-700.19375564748998</v>
      </c>
    </row>
    <row r="105" spans="1:4">
      <c r="A105" s="35">
        <v>96</v>
      </c>
      <c r="B105" s="18">
        <f t="shared" si="3"/>
        <v>-1903.8625322954179</v>
      </c>
      <c r="C105" s="18">
        <f t="shared" si="4"/>
        <v>-1200.2605481367764</v>
      </c>
      <c r="D105" s="18">
        <f t="shared" si="5"/>
        <v>-703.60198415864147</v>
      </c>
    </row>
    <row r="106" spans="1:4">
      <c r="A106" s="32">
        <v>97</v>
      </c>
      <c r="B106" s="15">
        <f t="shared" si="3"/>
        <v>-1903.8625322954179</v>
      </c>
      <c r="C106" s="15">
        <f t="shared" si="4"/>
        <v>-1196.8357299010081</v>
      </c>
      <c r="D106" s="15">
        <f t="shared" si="5"/>
        <v>-707.02680239440974</v>
      </c>
    </row>
    <row r="107" spans="1:4">
      <c r="A107" s="33">
        <v>98</v>
      </c>
      <c r="B107" s="23">
        <f t="shared" si="3"/>
        <v>-1903.8625322954179</v>
      </c>
      <c r="C107" s="23">
        <f t="shared" si="4"/>
        <v>-1193.3942411893006</v>
      </c>
      <c r="D107" s="23">
        <f t="shared" si="5"/>
        <v>-710.46829110611725</v>
      </c>
    </row>
    <row r="108" spans="1:4">
      <c r="A108" s="33">
        <v>99</v>
      </c>
      <c r="B108" s="23">
        <f t="shared" si="3"/>
        <v>-1903.8625322954179</v>
      </c>
      <c r="C108" s="23">
        <f t="shared" si="4"/>
        <v>-1189.9360008572687</v>
      </c>
      <c r="D108" s="23">
        <f t="shared" si="5"/>
        <v>-713.92653143814914</v>
      </c>
    </row>
    <row r="109" spans="1:4">
      <c r="A109" s="33">
        <v>100</v>
      </c>
      <c r="B109" s="23">
        <f t="shared" si="3"/>
        <v>-1903.8625322954179</v>
      </c>
      <c r="C109" s="23">
        <f t="shared" si="4"/>
        <v>-1186.4609273655535</v>
      </c>
      <c r="D109" s="23">
        <f t="shared" si="5"/>
        <v>-717.40160492986433</v>
      </c>
    </row>
    <row r="110" spans="1:4">
      <c r="A110" s="33">
        <v>101</v>
      </c>
      <c r="B110" s="23">
        <f t="shared" si="3"/>
        <v>-1903.8625322954179</v>
      </c>
      <c r="C110" s="23">
        <f t="shared" si="4"/>
        <v>-1182.968938777899</v>
      </c>
      <c r="D110" s="23">
        <f t="shared" si="5"/>
        <v>-720.89359351751887</v>
      </c>
    </row>
    <row r="111" spans="1:4">
      <c r="A111" s="33">
        <v>102</v>
      </c>
      <c r="B111" s="23">
        <f t="shared" si="3"/>
        <v>-1903.8625322954179</v>
      </c>
      <c r="C111" s="23">
        <f t="shared" si="4"/>
        <v>-1179.4599527592206</v>
      </c>
      <c r="D111" s="23">
        <f t="shared" si="5"/>
        <v>-724.40257953619721</v>
      </c>
    </row>
    <row r="112" spans="1:4">
      <c r="A112" s="33">
        <v>103</v>
      </c>
      <c r="B112" s="23">
        <f t="shared" si="3"/>
        <v>-1903.8625322954179</v>
      </c>
      <c r="C112" s="23">
        <f t="shared" si="4"/>
        <v>-1175.9338865736631</v>
      </c>
      <c r="D112" s="23">
        <f t="shared" si="5"/>
        <v>-727.92864572175472</v>
      </c>
    </row>
    <row r="113" spans="1:4">
      <c r="A113" s="33">
        <v>104</v>
      </c>
      <c r="B113" s="23">
        <f t="shared" si="3"/>
        <v>-1903.8625322954179</v>
      </c>
      <c r="C113" s="23">
        <f t="shared" si="4"/>
        <v>-1172.3906570826512</v>
      </c>
      <c r="D113" s="23">
        <f t="shared" si="5"/>
        <v>-731.47187521276669</v>
      </c>
    </row>
    <row r="114" spans="1:4">
      <c r="A114" s="33">
        <v>105</v>
      </c>
      <c r="B114" s="23">
        <f t="shared" si="3"/>
        <v>-1903.8625322954179</v>
      </c>
      <c r="C114" s="23">
        <f t="shared" si="4"/>
        <v>-1168.8301807429264</v>
      </c>
      <c r="D114" s="23">
        <f t="shared" si="5"/>
        <v>-735.03235155249149</v>
      </c>
    </row>
    <row r="115" spans="1:4">
      <c r="A115" s="33">
        <v>106</v>
      </c>
      <c r="B115" s="23">
        <f t="shared" si="3"/>
        <v>-1903.8625322954179</v>
      </c>
      <c r="C115" s="23">
        <f t="shared" si="4"/>
        <v>-1165.2523736045816</v>
      </c>
      <c r="D115" s="23">
        <f t="shared" si="5"/>
        <v>-738.61015869083622</v>
      </c>
    </row>
    <row r="116" spans="1:4">
      <c r="A116" s="33">
        <v>107</v>
      </c>
      <c r="B116" s="23">
        <f t="shared" si="3"/>
        <v>-1903.8625322954179</v>
      </c>
      <c r="C116" s="23">
        <f t="shared" si="4"/>
        <v>-1161.6571513090778</v>
      </c>
      <c r="D116" s="23">
        <f t="shared" si="5"/>
        <v>-742.20538098634006</v>
      </c>
    </row>
    <row r="117" spans="1:4">
      <c r="A117" s="35">
        <v>108</v>
      </c>
      <c r="B117" s="18">
        <f t="shared" si="3"/>
        <v>-1903.8625322954179</v>
      </c>
      <c r="C117" s="18">
        <f t="shared" si="4"/>
        <v>-1158.0444290872572</v>
      </c>
      <c r="D117" s="18">
        <f t="shared" si="5"/>
        <v>-745.81810320816066</v>
      </c>
    </row>
    <row r="118" spans="1:4">
      <c r="A118" s="32">
        <v>109</v>
      </c>
      <c r="B118" s="15">
        <f t="shared" si="3"/>
        <v>-1903.8625322954179</v>
      </c>
      <c r="C118" s="15">
        <f t="shared" si="4"/>
        <v>-1154.4141217573431</v>
      </c>
      <c r="D118" s="15">
        <f t="shared" si="5"/>
        <v>-749.44841053807477</v>
      </c>
    </row>
    <row r="119" spans="1:4">
      <c r="A119" s="33">
        <v>110</v>
      </c>
      <c r="B119" s="23">
        <f t="shared" si="3"/>
        <v>-1903.8625322954179</v>
      </c>
      <c r="C119" s="23">
        <f t="shared" si="4"/>
        <v>-1150.7661437229335</v>
      </c>
      <c r="D119" s="23">
        <f t="shared" si="5"/>
        <v>-753.09638857248433</v>
      </c>
    </row>
    <row r="120" spans="1:4">
      <c r="A120" s="33">
        <v>111</v>
      </c>
      <c r="B120" s="23">
        <f t="shared" si="3"/>
        <v>-1903.8625322954179</v>
      </c>
      <c r="C120" s="23">
        <f t="shared" si="4"/>
        <v>-1147.1004089709791</v>
      </c>
      <c r="D120" s="23">
        <f t="shared" si="5"/>
        <v>-756.76212332443879</v>
      </c>
    </row>
    <row r="121" spans="1:4">
      <c r="A121" s="33">
        <v>112</v>
      </c>
      <c r="B121" s="23">
        <f t="shared" si="3"/>
        <v>-1903.8625322954179</v>
      </c>
      <c r="C121" s="23">
        <f t="shared" si="4"/>
        <v>-1143.4168310697614</v>
      </c>
      <c r="D121" s="23">
        <f t="shared" si="5"/>
        <v>-760.44570122565642</v>
      </c>
    </row>
    <row r="122" spans="1:4">
      <c r="A122" s="33">
        <v>113</v>
      </c>
      <c r="B122" s="23">
        <f t="shared" si="3"/>
        <v>-1903.8625322954179</v>
      </c>
      <c r="C122" s="23">
        <f t="shared" si="4"/>
        <v>-1139.7153231668476</v>
      </c>
      <c r="D122" s="23">
        <f t="shared" si="5"/>
        <v>-764.14720912857024</v>
      </c>
    </row>
    <row r="123" spans="1:4">
      <c r="A123" s="33">
        <v>114</v>
      </c>
      <c r="B123" s="23">
        <f t="shared" si="3"/>
        <v>-1903.8625322954179</v>
      </c>
      <c r="C123" s="23">
        <f t="shared" si="4"/>
        <v>-1135.9957979870485</v>
      </c>
      <c r="D123" s="23">
        <f t="shared" si="5"/>
        <v>-767.86673430836936</v>
      </c>
    </row>
    <row r="124" spans="1:4">
      <c r="A124" s="33">
        <v>115</v>
      </c>
      <c r="B124" s="23">
        <f t="shared" si="3"/>
        <v>-1903.8625322954179</v>
      </c>
      <c r="C124" s="23">
        <f t="shared" si="4"/>
        <v>-1132.2581678303577</v>
      </c>
      <c r="D124" s="23">
        <f t="shared" si="5"/>
        <v>-771.60436446506014</v>
      </c>
    </row>
    <row r="125" spans="1:4">
      <c r="A125" s="33">
        <v>116</v>
      </c>
      <c r="B125" s="23">
        <f t="shared" si="3"/>
        <v>-1903.8625322954179</v>
      </c>
      <c r="C125" s="23">
        <f t="shared" si="4"/>
        <v>-1128.5023445698846</v>
      </c>
      <c r="D125" s="23">
        <f t="shared" si="5"/>
        <v>-775.36018772553325</v>
      </c>
    </row>
    <row r="126" spans="1:4">
      <c r="A126" s="33">
        <v>117</v>
      </c>
      <c r="B126" s="23">
        <f t="shared" si="3"/>
        <v>-1903.8625322954179</v>
      </c>
      <c r="C126" s="23">
        <f t="shared" si="4"/>
        <v>-1124.7282396497762</v>
      </c>
      <c r="D126" s="23">
        <f t="shared" si="5"/>
        <v>-779.13429264564161</v>
      </c>
    </row>
    <row r="127" spans="1:4">
      <c r="A127" s="33">
        <v>118</v>
      </c>
      <c r="B127" s="23">
        <f t="shared" si="3"/>
        <v>-1903.8625322954179</v>
      </c>
      <c r="C127" s="23">
        <f t="shared" si="4"/>
        <v>-1120.9357640831308</v>
      </c>
      <c r="D127" s="23">
        <f t="shared" si="5"/>
        <v>-782.92676821228702</v>
      </c>
    </row>
    <row r="128" spans="1:4">
      <c r="A128" s="33">
        <v>119</v>
      </c>
      <c r="B128" s="23">
        <f t="shared" si="3"/>
        <v>-1903.8625322954179</v>
      </c>
      <c r="C128" s="23">
        <f t="shared" si="4"/>
        <v>-1117.124828449897</v>
      </c>
      <c r="D128" s="23">
        <f t="shared" si="5"/>
        <v>-786.73770384552085</v>
      </c>
    </row>
    <row r="129" spans="1:4">
      <c r="A129" s="35">
        <v>120</v>
      </c>
      <c r="B129" s="18">
        <f t="shared" si="3"/>
        <v>-1903.8625322954179</v>
      </c>
      <c r="C129" s="18">
        <f t="shared" si="4"/>
        <v>-1113.2953428947669</v>
      </c>
      <c r="D129" s="18">
        <f t="shared" si="5"/>
        <v>-790.56718940065093</v>
      </c>
    </row>
    <row r="130" spans="1:4">
      <c r="A130" s="32">
        <v>121</v>
      </c>
      <c r="B130" s="15">
        <f t="shared" si="3"/>
        <v>-1903.8625322954179</v>
      </c>
      <c r="C130" s="15">
        <f t="shared" si="4"/>
        <v>-1109.4472171250582</v>
      </c>
      <c r="D130" s="15">
        <f t="shared" si="5"/>
        <v>-794.41531517035969</v>
      </c>
    </row>
    <row r="131" spans="1:4">
      <c r="A131" s="33">
        <v>122</v>
      </c>
      <c r="B131" s="23">
        <f t="shared" si="3"/>
        <v>-1903.8625322954179</v>
      </c>
      <c r="C131" s="23">
        <f t="shared" si="4"/>
        <v>-1105.5803604085831</v>
      </c>
      <c r="D131" s="23">
        <f t="shared" si="5"/>
        <v>-798.2821718868347</v>
      </c>
    </row>
    <row r="132" spans="1:4">
      <c r="A132" s="33">
        <v>123</v>
      </c>
      <c r="B132" s="23">
        <f t="shared" si="3"/>
        <v>-1903.8625322954179</v>
      </c>
      <c r="C132" s="23">
        <f t="shared" si="4"/>
        <v>-1101.6946815715123</v>
      </c>
      <c r="D132" s="23">
        <f t="shared" si="5"/>
        <v>-802.16785072390553</v>
      </c>
    </row>
    <row r="133" spans="1:4">
      <c r="A133" s="33">
        <v>124</v>
      </c>
      <c r="B133" s="23">
        <f t="shared" si="3"/>
        <v>-1903.8625322954179</v>
      </c>
      <c r="C133" s="23">
        <f t="shared" si="4"/>
        <v>-1097.7900889962216</v>
      </c>
      <c r="D133" s="23">
        <f t="shared" si="5"/>
        <v>-806.07244329919627</v>
      </c>
    </row>
    <row r="134" spans="1:4">
      <c r="A134" s="33">
        <v>125</v>
      </c>
      <c r="B134" s="23">
        <f t="shared" si="3"/>
        <v>-1903.8625322954179</v>
      </c>
      <c r="C134" s="23">
        <f t="shared" si="4"/>
        <v>-1093.8664906191323</v>
      </c>
      <c r="D134" s="23">
        <f t="shared" si="5"/>
        <v>-809.99604167628559</v>
      </c>
    </row>
    <row r="135" spans="1:4">
      <c r="A135" s="33">
        <v>126</v>
      </c>
      <c r="B135" s="23">
        <f t="shared" si="3"/>
        <v>-1903.8625322954179</v>
      </c>
      <c r="C135" s="23">
        <f t="shared" si="4"/>
        <v>-1089.9237939285458</v>
      </c>
      <c r="D135" s="23">
        <f t="shared" si="5"/>
        <v>-813.93873836687203</v>
      </c>
    </row>
    <row r="136" spans="1:4">
      <c r="A136" s="33">
        <v>127</v>
      </c>
      <c r="B136" s="23">
        <f t="shared" si="3"/>
        <v>-1903.8625322954179</v>
      </c>
      <c r="C136" s="23">
        <f t="shared" si="4"/>
        <v>-1085.9619059624529</v>
      </c>
      <c r="D136" s="23">
        <f t="shared" si="5"/>
        <v>-817.90062633296498</v>
      </c>
    </row>
    <row r="137" spans="1:4">
      <c r="A137" s="33">
        <v>128</v>
      </c>
      <c r="B137" s="23">
        <f t="shared" si="3"/>
        <v>-1903.8625322954179</v>
      </c>
      <c r="C137" s="23">
        <f t="shared" si="4"/>
        <v>-1081.9807333063522</v>
      </c>
      <c r="D137" s="23">
        <f t="shared" si="5"/>
        <v>-821.8817989890656</v>
      </c>
    </row>
    <row r="138" spans="1:4">
      <c r="A138" s="33">
        <v>129</v>
      </c>
      <c r="B138" s="23">
        <f t="shared" ref="B138:B201" si="6">PMT($B$5,$B$7,$B$3)</f>
        <v>-1903.8625322954179</v>
      </c>
      <c r="C138" s="23">
        <f t="shared" ref="C138:C201" si="7">IPMT($B$5,$A138,$B$7,$B$3)</f>
        <v>-1077.9801820910372</v>
      </c>
      <c r="D138" s="23">
        <f t="shared" ref="D138:D201" si="8">PPMT($B$5,$A138,$B$7,$B$3)</f>
        <v>-825.8823502043806</v>
      </c>
    </row>
    <row r="139" spans="1:4">
      <c r="A139" s="33">
        <v>130</v>
      </c>
      <c r="B139" s="23">
        <f t="shared" si="6"/>
        <v>-1903.8625322954179</v>
      </c>
      <c r="C139" s="23">
        <f t="shared" si="7"/>
        <v>-1073.9601579903929</v>
      </c>
      <c r="D139" s="23">
        <f t="shared" si="8"/>
        <v>-829.90237430502498</v>
      </c>
    </row>
    <row r="140" spans="1:4">
      <c r="A140" s="33">
        <v>131</v>
      </c>
      <c r="B140" s="23">
        <f t="shared" si="6"/>
        <v>-1903.8625322954179</v>
      </c>
      <c r="C140" s="23">
        <f t="shared" si="7"/>
        <v>-1069.920566219165</v>
      </c>
      <c r="D140" s="23">
        <f t="shared" si="8"/>
        <v>-833.94196607625281</v>
      </c>
    </row>
    <row r="141" spans="1:4">
      <c r="A141" s="35">
        <v>132</v>
      </c>
      <c r="B141" s="18">
        <f t="shared" si="6"/>
        <v>-1903.8625322954179</v>
      </c>
      <c r="C141" s="18">
        <f t="shared" si="7"/>
        <v>-1065.8613115307276</v>
      </c>
      <c r="D141" s="18">
        <f t="shared" si="8"/>
        <v>-838.00122076469029</v>
      </c>
    </row>
    <row r="142" spans="1:4">
      <c r="A142" s="32">
        <v>133</v>
      </c>
      <c r="B142" s="15">
        <f t="shared" si="6"/>
        <v>-1903.8625322954179</v>
      </c>
      <c r="C142" s="15">
        <f t="shared" si="7"/>
        <v>-1061.7822982148359</v>
      </c>
      <c r="D142" s="15">
        <f t="shared" si="8"/>
        <v>-842.08023408058193</v>
      </c>
    </row>
    <row r="143" spans="1:4">
      <c r="A143" s="33">
        <v>134</v>
      </c>
      <c r="B143" s="23">
        <f t="shared" si="6"/>
        <v>-1903.8625322954179</v>
      </c>
      <c r="C143" s="23">
        <f t="shared" si="7"/>
        <v>-1057.6834300953728</v>
      </c>
      <c r="D143" s="23">
        <f t="shared" si="8"/>
        <v>-846.17910220004501</v>
      </c>
    </row>
    <row r="144" spans="1:4">
      <c r="A144" s="33">
        <v>135</v>
      </c>
      <c r="B144" s="23">
        <f t="shared" si="6"/>
        <v>-1903.8625322954179</v>
      </c>
      <c r="C144" s="23">
        <f t="shared" si="7"/>
        <v>-1053.5646105280775</v>
      </c>
      <c r="D144" s="23">
        <f t="shared" si="8"/>
        <v>-850.29792176734031</v>
      </c>
    </row>
    <row r="145" spans="1:4">
      <c r="A145" s="33">
        <v>136</v>
      </c>
      <c r="B145" s="23">
        <f t="shared" si="6"/>
        <v>-1903.8625322954179</v>
      </c>
      <c r="C145" s="23">
        <f t="shared" si="7"/>
        <v>-1049.425742398269</v>
      </c>
      <c r="D145" s="23">
        <f t="shared" si="8"/>
        <v>-854.43678989714886</v>
      </c>
    </row>
    <row r="146" spans="1:4">
      <c r="A146" s="33">
        <v>137</v>
      </c>
      <c r="B146" s="23">
        <f t="shared" si="6"/>
        <v>-1903.8625322954179</v>
      </c>
      <c r="C146" s="23">
        <f t="shared" si="7"/>
        <v>-1045.266728118555</v>
      </c>
      <c r="D146" s="23">
        <f t="shared" si="8"/>
        <v>-858.59580417686288</v>
      </c>
    </row>
    <row r="147" spans="1:4">
      <c r="A147" s="33">
        <v>138</v>
      </c>
      <c r="B147" s="23">
        <f t="shared" si="6"/>
        <v>-1903.8625322954179</v>
      </c>
      <c r="C147" s="23">
        <f t="shared" si="7"/>
        <v>-1041.0874696265325</v>
      </c>
      <c r="D147" s="23">
        <f t="shared" si="8"/>
        <v>-862.77506266888531</v>
      </c>
    </row>
    <row r="148" spans="1:4">
      <c r="A148" s="33">
        <v>139</v>
      </c>
      <c r="B148" s="23">
        <f t="shared" si="6"/>
        <v>-1903.8625322954179</v>
      </c>
      <c r="C148" s="23">
        <f t="shared" si="7"/>
        <v>-1036.8878683824748</v>
      </c>
      <c r="D148" s="23">
        <f t="shared" si="8"/>
        <v>-866.97466391294302</v>
      </c>
    </row>
    <row r="149" spans="1:4">
      <c r="A149" s="33">
        <v>140</v>
      </c>
      <c r="B149" s="23">
        <f t="shared" si="6"/>
        <v>-1903.8625322954179</v>
      </c>
      <c r="C149" s="23">
        <f t="shared" si="7"/>
        <v>-1032.6678253670075</v>
      </c>
      <c r="D149" s="23">
        <f t="shared" si="8"/>
        <v>-871.19470692841037</v>
      </c>
    </row>
    <row r="150" spans="1:4">
      <c r="A150" s="33">
        <v>141</v>
      </c>
      <c r="B150" s="23">
        <f t="shared" si="6"/>
        <v>-1903.8625322954179</v>
      </c>
      <c r="C150" s="23">
        <f t="shared" si="7"/>
        <v>-1028.4272410787737</v>
      </c>
      <c r="D150" s="23">
        <f t="shared" si="8"/>
        <v>-875.43529121664415</v>
      </c>
    </row>
    <row r="151" spans="1:4">
      <c r="A151" s="33">
        <v>142</v>
      </c>
      <c r="B151" s="23">
        <f t="shared" si="6"/>
        <v>-1903.8625322954179</v>
      </c>
      <c r="C151" s="23">
        <f t="shared" si="7"/>
        <v>-1024.166015532091</v>
      </c>
      <c r="D151" s="23">
        <f t="shared" si="8"/>
        <v>-879.69651676332683</v>
      </c>
    </row>
    <row r="152" spans="1:4">
      <c r="A152" s="33">
        <v>143</v>
      </c>
      <c r="B152" s="23">
        <f t="shared" si="6"/>
        <v>-1903.8625322954179</v>
      </c>
      <c r="C152" s="23">
        <f t="shared" si="7"/>
        <v>-1019.8840482545893</v>
      </c>
      <c r="D152" s="23">
        <f t="shared" si="8"/>
        <v>-883.97848404082856</v>
      </c>
    </row>
    <row r="153" spans="1:4">
      <c r="A153" s="35">
        <v>144</v>
      </c>
      <c r="B153" s="18">
        <f t="shared" si="6"/>
        <v>-1903.8625322954179</v>
      </c>
      <c r="C153" s="18">
        <f t="shared" si="7"/>
        <v>-1015.5812382848453</v>
      </c>
      <c r="D153" s="18">
        <f t="shared" si="8"/>
        <v>-888.28129401057254</v>
      </c>
    </row>
    <row r="154" spans="1:4">
      <c r="A154" s="32">
        <v>145</v>
      </c>
      <c r="B154" s="15">
        <f t="shared" si="6"/>
        <v>-1903.8625322954179</v>
      </c>
      <c r="C154" s="15">
        <f t="shared" si="7"/>
        <v>-1011.2574841700005</v>
      </c>
      <c r="D154" s="15">
        <f t="shared" si="8"/>
        <v>-892.6050481254174</v>
      </c>
    </row>
    <row r="155" spans="1:4">
      <c r="A155" s="33">
        <v>146</v>
      </c>
      <c r="B155" s="23">
        <f t="shared" si="6"/>
        <v>-1903.8625322954179</v>
      </c>
      <c r="C155" s="23">
        <f t="shared" si="7"/>
        <v>-1006.9126839633694</v>
      </c>
      <c r="D155" s="23">
        <f t="shared" si="8"/>
        <v>-896.94984833204842</v>
      </c>
    </row>
    <row r="156" spans="1:4">
      <c r="A156" s="33">
        <v>147</v>
      </c>
      <c r="B156" s="23">
        <f t="shared" si="6"/>
        <v>-1903.8625322954179</v>
      </c>
      <c r="C156" s="23">
        <f t="shared" si="7"/>
        <v>-1002.5467352220362</v>
      </c>
      <c r="D156" s="23">
        <f t="shared" si="8"/>
        <v>-901.31579707338165</v>
      </c>
    </row>
    <row r="157" spans="1:4">
      <c r="A157" s="33">
        <v>148</v>
      </c>
      <c r="B157" s="23">
        <f t="shared" si="6"/>
        <v>-1903.8625322954179</v>
      </c>
      <c r="C157" s="23">
        <f t="shared" si="7"/>
        <v>-998.15953500443914</v>
      </c>
      <c r="D157" s="23">
        <f t="shared" si="8"/>
        <v>-905.70299729097871</v>
      </c>
    </row>
    <row r="158" spans="1:4">
      <c r="A158" s="33">
        <v>149</v>
      </c>
      <c r="B158" s="23">
        <f t="shared" si="6"/>
        <v>-1903.8625322954179</v>
      </c>
      <c r="C158" s="23">
        <f t="shared" si="7"/>
        <v>-993.75097986794242</v>
      </c>
      <c r="D158" s="23">
        <f t="shared" si="8"/>
        <v>-910.11155242747543</v>
      </c>
    </row>
    <row r="159" spans="1:4">
      <c r="A159" s="33">
        <v>150</v>
      </c>
      <c r="B159" s="23">
        <f t="shared" si="6"/>
        <v>-1903.8625322954179</v>
      </c>
      <c r="C159" s="23">
        <f t="shared" si="7"/>
        <v>-989.32096586639921</v>
      </c>
      <c r="D159" s="23">
        <f t="shared" si="8"/>
        <v>-914.54156642901864</v>
      </c>
    </row>
    <row r="160" spans="1:4">
      <c r="A160" s="33">
        <v>151</v>
      </c>
      <c r="B160" s="23">
        <f t="shared" si="6"/>
        <v>-1903.8625322954179</v>
      </c>
      <c r="C160" s="23">
        <f t="shared" si="7"/>
        <v>-984.86938854769789</v>
      </c>
      <c r="D160" s="23">
        <f t="shared" si="8"/>
        <v>-918.99314374771996</v>
      </c>
    </row>
    <row r="161" spans="1:4">
      <c r="A161" s="33">
        <v>152</v>
      </c>
      <c r="B161" s="23">
        <f t="shared" si="6"/>
        <v>-1903.8625322954179</v>
      </c>
      <c r="C161" s="23">
        <f t="shared" si="7"/>
        <v>-980.39614295130161</v>
      </c>
      <c r="D161" s="23">
        <f t="shared" si="8"/>
        <v>-923.46638934411624</v>
      </c>
    </row>
    <row r="162" spans="1:4">
      <c r="A162" s="33">
        <v>153</v>
      </c>
      <c r="B162" s="23">
        <f t="shared" si="6"/>
        <v>-1903.8625322954179</v>
      </c>
      <c r="C162" s="23">
        <f t="shared" si="7"/>
        <v>-975.90112360577484</v>
      </c>
      <c r="D162" s="23">
        <f t="shared" si="8"/>
        <v>-927.96140868964301</v>
      </c>
    </row>
    <row r="163" spans="1:4">
      <c r="A163" s="33">
        <v>154</v>
      </c>
      <c r="B163" s="23">
        <f t="shared" si="6"/>
        <v>-1903.8625322954179</v>
      </c>
      <c r="C163" s="23">
        <f t="shared" si="7"/>
        <v>-971.38422452629061</v>
      </c>
      <c r="D163" s="23">
        <f t="shared" si="8"/>
        <v>-932.47830776912724</v>
      </c>
    </row>
    <row r="164" spans="1:4">
      <c r="A164" s="33">
        <v>155</v>
      </c>
      <c r="B164" s="23">
        <f t="shared" si="6"/>
        <v>-1903.8625322954179</v>
      </c>
      <c r="C164" s="23">
        <f t="shared" si="7"/>
        <v>-966.84533921213892</v>
      </c>
      <c r="D164" s="23">
        <f t="shared" si="8"/>
        <v>-937.01719308327893</v>
      </c>
    </row>
    <row r="165" spans="1:4">
      <c r="A165" s="35">
        <v>156</v>
      </c>
      <c r="B165" s="18">
        <f t="shared" si="6"/>
        <v>-1903.8625322954179</v>
      </c>
      <c r="C165" s="18">
        <f t="shared" si="7"/>
        <v>-962.28436064421021</v>
      </c>
      <c r="D165" s="18">
        <f t="shared" si="8"/>
        <v>-941.57817165120764</v>
      </c>
    </row>
    <row r="166" spans="1:4">
      <c r="A166" s="32">
        <v>157</v>
      </c>
      <c r="B166" s="15">
        <f t="shared" si="6"/>
        <v>-1903.8625322954179</v>
      </c>
      <c r="C166" s="15">
        <f t="shared" si="7"/>
        <v>-957.70118128247464</v>
      </c>
      <c r="D166" s="15">
        <f t="shared" si="8"/>
        <v>-946.16135101294321</v>
      </c>
    </row>
    <row r="167" spans="1:4">
      <c r="A167" s="33">
        <v>158</v>
      </c>
      <c r="B167" s="23">
        <f t="shared" si="6"/>
        <v>-1903.8625322954179</v>
      </c>
      <c r="C167" s="23">
        <f t="shared" si="7"/>
        <v>-953.09569306344633</v>
      </c>
      <c r="D167" s="23">
        <f t="shared" si="8"/>
        <v>-950.76683923197152</v>
      </c>
    </row>
    <row r="168" spans="1:4">
      <c r="A168" s="33">
        <v>159</v>
      </c>
      <c r="B168" s="23">
        <f t="shared" si="6"/>
        <v>-1903.8625322954179</v>
      </c>
      <c r="C168" s="23">
        <f t="shared" si="7"/>
        <v>-948.46778739763317</v>
      </c>
      <c r="D168" s="23">
        <f t="shared" si="8"/>
        <v>-955.39474489778468</v>
      </c>
    </row>
    <row r="169" spans="1:4">
      <c r="A169" s="33">
        <v>160</v>
      </c>
      <c r="B169" s="23">
        <f t="shared" si="6"/>
        <v>-1903.8625322954179</v>
      </c>
      <c r="C169" s="23">
        <f t="shared" si="7"/>
        <v>-943.81735516697995</v>
      </c>
      <c r="D169" s="23">
        <f t="shared" si="8"/>
        <v>-960.0451771284379</v>
      </c>
    </row>
    <row r="170" spans="1:4">
      <c r="A170" s="33">
        <v>161</v>
      </c>
      <c r="B170" s="23">
        <f t="shared" si="6"/>
        <v>-1903.8625322954179</v>
      </c>
      <c r="C170" s="23">
        <f t="shared" si="7"/>
        <v>-939.14428672229315</v>
      </c>
      <c r="D170" s="23">
        <f t="shared" si="8"/>
        <v>-964.7182455731247</v>
      </c>
    </row>
    <row r="171" spans="1:4">
      <c r="A171" s="33">
        <v>162</v>
      </c>
      <c r="B171" s="23">
        <f t="shared" si="6"/>
        <v>-1903.8625322954179</v>
      </c>
      <c r="C171" s="23">
        <f t="shared" si="7"/>
        <v>-934.44847188065705</v>
      </c>
      <c r="D171" s="23">
        <f t="shared" si="8"/>
        <v>-969.4140604147608</v>
      </c>
    </row>
    <row r="172" spans="1:4">
      <c r="A172" s="33">
        <v>163</v>
      </c>
      <c r="B172" s="23">
        <f t="shared" si="6"/>
        <v>-1903.8625322954179</v>
      </c>
      <c r="C172" s="23">
        <f t="shared" si="7"/>
        <v>-929.72979992283365</v>
      </c>
      <c r="D172" s="23">
        <f t="shared" si="8"/>
        <v>-974.1327323725842</v>
      </c>
    </row>
    <row r="173" spans="1:4">
      <c r="A173" s="33">
        <v>164</v>
      </c>
      <c r="B173" s="23">
        <f t="shared" si="6"/>
        <v>-1903.8625322954179</v>
      </c>
      <c r="C173" s="23">
        <f t="shared" si="7"/>
        <v>-924.98815959065473</v>
      </c>
      <c r="D173" s="23">
        <f t="shared" si="8"/>
        <v>-978.87437270476312</v>
      </c>
    </row>
    <row r="174" spans="1:4">
      <c r="A174" s="33">
        <v>165</v>
      </c>
      <c r="B174" s="23">
        <f t="shared" si="6"/>
        <v>-1903.8625322954179</v>
      </c>
      <c r="C174" s="23">
        <f t="shared" si="7"/>
        <v>-920.22343908439518</v>
      </c>
      <c r="D174" s="23">
        <f t="shared" si="8"/>
        <v>-983.63909321102267</v>
      </c>
    </row>
    <row r="175" spans="1:4">
      <c r="A175" s="33">
        <v>166</v>
      </c>
      <c r="B175" s="23">
        <f t="shared" si="6"/>
        <v>-1903.8625322954179</v>
      </c>
      <c r="C175" s="23">
        <f t="shared" si="7"/>
        <v>-915.43552606014282</v>
      </c>
      <c r="D175" s="23">
        <f t="shared" si="8"/>
        <v>-988.42700623527503</v>
      </c>
    </row>
    <row r="176" spans="1:4">
      <c r="A176" s="33">
        <v>167</v>
      </c>
      <c r="B176" s="23">
        <f t="shared" si="6"/>
        <v>-1903.8625322954179</v>
      </c>
      <c r="C176" s="23">
        <f t="shared" si="7"/>
        <v>-910.62430762714166</v>
      </c>
      <c r="D176" s="23">
        <f t="shared" si="8"/>
        <v>-993.23822466827619</v>
      </c>
    </row>
    <row r="177" spans="1:4">
      <c r="A177" s="35">
        <v>168</v>
      </c>
      <c r="B177" s="18">
        <f t="shared" si="6"/>
        <v>-1903.8625322954179</v>
      </c>
      <c r="C177" s="18">
        <f t="shared" si="7"/>
        <v>-905.7896703451371</v>
      </c>
      <c r="D177" s="18">
        <f t="shared" si="8"/>
        <v>-998.07286195028075</v>
      </c>
    </row>
    <row r="178" spans="1:4">
      <c r="A178" s="32">
        <v>169</v>
      </c>
      <c r="B178" s="15">
        <f t="shared" si="6"/>
        <v>-1903.8625322954179</v>
      </c>
      <c r="C178" s="15">
        <f t="shared" si="7"/>
        <v>-900.93150022169755</v>
      </c>
      <c r="D178" s="15">
        <f t="shared" si="8"/>
        <v>-1002.9310320737203</v>
      </c>
    </row>
    <row r="179" spans="1:4">
      <c r="A179" s="33">
        <v>170</v>
      </c>
      <c r="B179" s="23">
        <f t="shared" si="6"/>
        <v>-1903.8625322954179</v>
      </c>
      <c r="C179" s="23">
        <f t="shared" si="7"/>
        <v>-896.04968270952725</v>
      </c>
      <c r="D179" s="23">
        <f t="shared" si="8"/>
        <v>-1007.8128495858906</v>
      </c>
    </row>
    <row r="180" spans="1:4">
      <c r="A180" s="33">
        <v>171</v>
      </c>
      <c r="B180" s="23">
        <f t="shared" si="6"/>
        <v>-1903.8625322954179</v>
      </c>
      <c r="C180" s="23">
        <f t="shared" si="7"/>
        <v>-891.14410270376504</v>
      </c>
      <c r="D180" s="23">
        <f t="shared" si="8"/>
        <v>-1012.7184295916528</v>
      </c>
    </row>
    <row r="181" spans="1:4">
      <c r="A181" s="33">
        <v>172</v>
      </c>
      <c r="B181" s="23">
        <f t="shared" si="6"/>
        <v>-1903.8625322954179</v>
      </c>
      <c r="C181" s="23">
        <f t="shared" si="7"/>
        <v>-886.21464453927308</v>
      </c>
      <c r="D181" s="23">
        <f t="shared" si="8"/>
        <v>-1017.6478877561448</v>
      </c>
    </row>
    <row r="182" spans="1:4">
      <c r="A182" s="33">
        <v>173</v>
      </c>
      <c r="B182" s="23">
        <f t="shared" si="6"/>
        <v>-1903.8625322954179</v>
      </c>
      <c r="C182" s="23">
        <f t="shared" si="7"/>
        <v>-881.26119198790502</v>
      </c>
      <c r="D182" s="23">
        <f t="shared" si="8"/>
        <v>-1022.6013403075128</v>
      </c>
    </row>
    <row r="183" spans="1:4">
      <c r="A183" s="33">
        <v>174</v>
      </c>
      <c r="B183" s="23">
        <f t="shared" si="6"/>
        <v>-1903.8625322954179</v>
      </c>
      <c r="C183" s="23">
        <f t="shared" si="7"/>
        <v>-876.28362825577096</v>
      </c>
      <c r="D183" s="23">
        <f t="shared" si="8"/>
        <v>-1027.5789040396469</v>
      </c>
    </row>
    <row r="184" spans="1:4">
      <c r="A184" s="33">
        <v>175</v>
      </c>
      <c r="B184" s="23">
        <f t="shared" si="6"/>
        <v>-1903.8625322954179</v>
      </c>
      <c r="C184" s="23">
        <f t="shared" si="7"/>
        <v>-871.28183598047792</v>
      </c>
      <c r="D184" s="23">
        <f t="shared" si="8"/>
        <v>-1032.5806963149398</v>
      </c>
    </row>
    <row r="185" spans="1:4">
      <c r="A185" s="33">
        <v>176</v>
      </c>
      <c r="B185" s="23">
        <f t="shared" si="6"/>
        <v>-1903.8625322954179</v>
      </c>
      <c r="C185" s="23">
        <f t="shared" si="7"/>
        <v>-866.25569722836769</v>
      </c>
      <c r="D185" s="23">
        <f t="shared" si="8"/>
        <v>-1037.6068350670503</v>
      </c>
    </row>
    <row r="186" spans="1:4">
      <c r="A186" s="33">
        <v>177</v>
      </c>
      <c r="B186" s="23">
        <f t="shared" si="6"/>
        <v>-1903.8625322954179</v>
      </c>
      <c r="C186" s="23">
        <f t="shared" si="7"/>
        <v>-861.20509349173335</v>
      </c>
      <c r="D186" s="23">
        <f t="shared" si="8"/>
        <v>-1042.6574388036845</v>
      </c>
    </row>
    <row r="187" spans="1:4">
      <c r="A187" s="33">
        <v>178</v>
      </c>
      <c r="B187" s="23">
        <f t="shared" si="6"/>
        <v>-1903.8625322954179</v>
      </c>
      <c r="C187" s="23">
        <f t="shared" si="7"/>
        <v>-856.12990568602584</v>
      </c>
      <c r="D187" s="23">
        <f t="shared" si="8"/>
        <v>-1047.7326266093919</v>
      </c>
    </row>
    <row r="188" spans="1:4">
      <c r="A188" s="33">
        <v>179</v>
      </c>
      <c r="B188" s="23">
        <f t="shared" si="6"/>
        <v>-1903.8625322954179</v>
      </c>
      <c r="C188" s="23">
        <f t="shared" si="7"/>
        <v>-851.03001414704488</v>
      </c>
      <c r="D188" s="23">
        <f t="shared" si="8"/>
        <v>-1052.8325181483729</v>
      </c>
    </row>
    <row r="189" spans="1:4">
      <c r="A189" s="35">
        <v>180</v>
      </c>
      <c r="B189" s="18">
        <f t="shared" si="6"/>
        <v>-1903.8625322954179</v>
      </c>
      <c r="C189" s="18">
        <f t="shared" si="7"/>
        <v>-845.90529862811979</v>
      </c>
      <c r="D189" s="18">
        <f t="shared" si="8"/>
        <v>-1057.9572336672982</v>
      </c>
    </row>
    <row r="190" spans="1:4">
      <c r="A190" s="32">
        <v>181</v>
      </c>
      <c r="B190" s="15">
        <f t="shared" si="6"/>
        <v>-1903.8625322954179</v>
      </c>
      <c r="C190" s="15">
        <f t="shared" si="7"/>
        <v>-840.755638297274</v>
      </c>
      <c r="D190" s="15">
        <f t="shared" si="8"/>
        <v>-1063.1068939981437</v>
      </c>
    </row>
    <row r="191" spans="1:4">
      <c r="A191" s="33">
        <v>182</v>
      </c>
      <c r="B191" s="23">
        <f t="shared" si="6"/>
        <v>-1903.8625322954179</v>
      </c>
      <c r="C191" s="23">
        <f t="shared" si="7"/>
        <v>-835.58091173437288</v>
      </c>
      <c r="D191" s="23">
        <f t="shared" si="8"/>
        <v>-1068.281620561045</v>
      </c>
    </row>
    <row r="192" spans="1:4">
      <c r="A192" s="33">
        <v>183</v>
      </c>
      <c r="B192" s="23">
        <f t="shared" si="6"/>
        <v>-1903.8625322954179</v>
      </c>
      <c r="C192" s="23">
        <f t="shared" si="7"/>
        <v>-830.3809969282654</v>
      </c>
      <c r="D192" s="23">
        <f t="shared" si="8"/>
        <v>-1073.4815353671524</v>
      </c>
    </row>
    <row r="193" spans="1:4">
      <c r="A193" s="33">
        <v>184</v>
      </c>
      <c r="B193" s="23">
        <f t="shared" si="6"/>
        <v>-1903.8625322954179</v>
      </c>
      <c r="C193" s="23">
        <f t="shared" si="7"/>
        <v>-825.1557712739035</v>
      </c>
      <c r="D193" s="23">
        <f t="shared" si="8"/>
        <v>-1078.7067610215145</v>
      </c>
    </row>
    <row r="194" spans="1:4">
      <c r="A194" s="33">
        <v>185</v>
      </c>
      <c r="B194" s="23">
        <f t="shared" si="6"/>
        <v>-1903.8625322954179</v>
      </c>
      <c r="C194" s="23">
        <f t="shared" si="7"/>
        <v>-819.90511156945377</v>
      </c>
      <c r="D194" s="23">
        <f t="shared" si="8"/>
        <v>-1083.9574207259641</v>
      </c>
    </row>
    <row r="195" spans="1:4">
      <c r="A195" s="33">
        <v>186</v>
      </c>
      <c r="B195" s="23">
        <f t="shared" si="6"/>
        <v>-1903.8625322954179</v>
      </c>
      <c r="C195" s="23">
        <f t="shared" si="7"/>
        <v>-814.62889401339135</v>
      </c>
      <c r="D195" s="23">
        <f t="shared" si="8"/>
        <v>-1089.2336382820265</v>
      </c>
    </row>
    <row r="196" spans="1:4">
      <c r="A196" s="33">
        <v>187</v>
      </c>
      <c r="B196" s="23">
        <f t="shared" si="6"/>
        <v>-1903.8625322954179</v>
      </c>
      <c r="C196" s="23">
        <f t="shared" si="7"/>
        <v>-809.32699420158031</v>
      </c>
      <c r="D196" s="23">
        <f t="shared" si="8"/>
        <v>-1094.5355380938377</v>
      </c>
    </row>
    <row r="197" spans="1:4">
      <c r="A197" s="33">
        <v>188</v>
      </c>
      <c r="B197" s="23">
        <f t="shared" si="6"/>
        <v>-1903.8625322954179</v>
      </c>
      <c r="C197" s="23">
        <f t="shared" si="7"/>
        <v>-803.99928712434394</v>
      </c>
      <c r="D197" s="23">
        <f t="shared" si="8"/>
        <v>-1099.8632451710739</v>
      </c>
    </row>
    <row r="198" spans="1:4">
      <c r="A198" s="33">
        <v>189</v>
      </c>
      <c r="B198" s="23">
        <f t="shared" si="6"/>
        <v>-1903.8625322954179</v>
      </c>
      <c r="C198" s="23">
        <f t="shared" si="7"/>
        <v>-798.64564716351117</v>
      </c>
      <c r="D198" s="23">
        <f t="shared" si="8"/>
        <v>-1105.2168851319066</v>
      </c>
    </row>
    <row r="199" spans="1:4">
      <c r="A199" s="33">
        <v>190</v>
      </c>
      <c r="B199" s="23">
        <f t="shared" si="6"/>
        <v>-1903.8625322954179</v>
      </c>
      <c r="C199" s="23">
        <f t="shared" si="7"/>
        <v>-793.26594808946118</v>
      </c>
      <c r="D199" s="23">
        <f t="shared" si="8"/>
        <v>-1110.5965842059568</v>
      </c>
    </row>
    <row r="200" spans="1:4">
      <c r="A200" s="33">
        <v>191</v>
      </c>
      <c r="B200" s="23">
        <f t="shared" si="6"/>
        <v>-1903.8625322954179</v>
      </c>
      <c r="C200" s="23">
        <f t="shared" si="7"/>
        <v>-787.86006305814078</v>
      </c>
      <c r="D200" s="23">
        <f t="shared" si="8"/>
        <v>-1116.0024692372772</v>
      </c>
    </row>
    <row r="201" spans="1:4">
      <c r="A201" s="35">
        <v>192</v>
      </c>
      <c r="B201" s="18">
        <f t="shared" si="6"/>
        <v>-1903.8625322954179</v>
      </c>
      <c r="C201" s="18">
        <f t="shared" si="7"/>
        <v>-782.42786460808156</v>
      </c>
      <c r="D201" s="18">
        <f t="shared" si="8"/>
        <v>-1121.4346676873363</v>
      </c>
    </row>
    <row r="202" spans="1:4">
      <c r="A202" s="32">
        <v>193</v>
      </c>
      <c r="B202" s="15">
        <f t="shared" ref="B202:B265" si="9">PMT($B$5,$B$7,$B$3)</f>
        <v>-1903.8625322954179</v>
      </c>
      <c r="C202" s="15">
        <f t="shared" ref="C202:C265" si="10">IPMT($B$5,$A202,$B$7,$B$3)</f>
        <v>-776.96922465738396</v>
      </c>
      <c r="D202" s="15">
        <f t="shared" ref="D202:D265" si="11">PPMT($B$5,$A202,$B$7,$B$3)</f>
        <v>-1126.893307638034</v>
      </c>
    </row>
    <row r="203" spans="1:4">
      <c r="A203" s="33">
        <v>194</v>
      </c>
      <c r="B203" s="23">
        <f t="shared" si="9"/>
        <v>-1903.8625322954179</v>
      </c>
      <c r="C203" s="23">
        <f t="shared" si="10"/>
        <v>-771.48401450070867</v>
      </c>
      <c r="D203" s="23">
        <f t="shared" si="11"/>
        <v>-1132.3785177947093</v>
      </c>
    </row>
    <row r="204" spans="1:4">
      <c r="A204" s="33">
        <v>195</v>
      </c>
      <c r="B204" s="23">
        <f t="shared" si="9"/>
        <v>-1903.8625322954179</v>
      </c>
      <c r="C204" s="23">
        <f t="shared" si="10"/>
        <v>-765.97210480623505</v>
      </c>
      <c r="D204" s="23">
        <f t="shared" si="11"/>
        <v>-1137.8904274891829</v>
      </c>
    </row>
    <row r="205" spans="1:4">
      <c r="A205" s="33">
        <v>196</v>
      </c>
      <c r="B205" s="23">
        <f t="shared" si="9"/>
        <v>-1903.8625322954179</v>
      </c>
      <c r="C205" s="23">
        <f t="shared" si="10"/>
        <v>-760.43336561261219</v>
      </c>
      <c r="D205" s="23">
        <f t="shared" si="11"/>
        <v>-1143.4291666828058</v>
      </c>
    </row>
    <row r="206" spans="1:4">
      <c r="A206" s="33">
        <v>197</v>
      </c>
      <c r="B206" s="23">
        <f t="shared" si="9"/>
        <v>-1903.8625322954179</v>
      </c>
      <c r="C206" s="23">
        <f t="shared" si="10"/>
        <v>-754.86766632589513</v>
      </c>
      <c r="D206" s="23">
        <f t="shared" si="11"/>
        <v>-1148.9948659695228</v>
      </c>
    </row>
    <row r="207" spans="1:4">
      <c r="A207" s="33">
        <v>198</v>
      </c>
      <c r="B207" s="23">
        <f t="shared" si="9"/>
        <v>-1903.8625322954179</v>
      </c>
      <c r="C207" s="23">
        <f t="shared" si="10"/>
        <v>-749.27487571646952</v>
      </c>
      <c r="D207" s="23">
        <f t="shared" si="11"/>
        <v>-1154.5876565789483</v>
      </c>
    </row>
    <row r="208" spans="1:4">
      <c r="A208" s="33">
        <v>199</v>
      </c>
      <c r="B208" s="23">
        <f t="shared" si="9"/>
        <v>-1903.8625322954179</v>
      </c>
      <c r="C208" s="23">
        <f t="shared" si="10"/>
        <v>-743.65486191594982</v>
      </c>
      <c r="D208" s="23">
        <f t="shared" si="11"/>
        <v>-1160.207670379468</v>
      </c>
    </row>
    <row r="209" spans="1:4">
      <c r="A209" s="33">
        <v>200</v>
      </c>
      <c r="B209" s="23">
        <f t="shared" si="9"/>
        <v>-1903.8625322954179</v>
      </c>
      <c r="C209" s="23">
        <f t="shared" si="10"/>
        <v>-738.00749241407914</v>
      </c>
      <c r="D209" s="23">
        <f t="shared" si="11"/>
        <v>-1165.8550398813386</v>
      </c>
    </row>
    <row r="210" spans="1:4">
      <c r="A210" s="33">
        <v>201</v>
      </c>
      <c r="B210" s="23">
        <f t="shared" si="9"/>
        <v>-1903.8625322954179</v>
      </c>
      <c r="C210" s="23">
        <f t="shared" si="10"/>
        <v>-732.33263405559626</v>
      </c>
      <c r="D210" s="23">
        <f t="shared" si="11"/>
        <v>-1171.5298982398217</v>
      </c>
    </row>
    <row r="211" spans="1:4">
      <c r="A211" s="33">
        <v>202</v>
      </c>
      <c r="B211" s="23">
        <f t="shared" si="9"/>
        <v>-1903.8625322954179</v>
      </c>
      <c r="C211" s="23">
        <f t="shared" si="10"/>
        <v>-726.63015303710245</v>
      </c>
      <c r="D211" s="23">
        <f t="shared" si="11"/>
        <v>-1177.2323792583154</v>
      </c>
    </row>
    <row r="212" spans="1:4">
      <c r="A212" s="33">
        <v>203</v>
      </c>
      <c r="B212" s="23">
        <f t="shared" si="9"/>
        <v>-1903.8625322954179</v>
      </c>
      <c r="C212" s="23">
        <f t="shared" si="10"/>
        <v>-720.89991490390366</v>
      </c>
      <c r="D212" s="23">
        <f t="shared" si="11"/>
        <v>-1182.9626173915142</v>
      </c>
    </row>
    <row r="213" spans="1:4">
      <c r="A213" s="35">
        <v>204</v>
      </c>
      <c r="B213" s="18">
        <f t="shared" si="9"/>
        <v>-1903.8625322954179</v>
      </c>
      <c r="C213" s="18">
        <f t="shared" si="10"/>
        <v>-715.14178454684065</v>
      </c>
      <c r="D213" s="18">
        <f t="shared" si="11"/>
        <v>-1188.7207477485772</v>
      </c>
    </row>
    <row r="214" spans="1:4">
      <c r="A214" s="32">
        <v>205</v>
      </c>
      <c r="B214" s="15">
        <f t="shared" si="9"/>
        <v>-1903.8625322954179</v>
      </c>
      <c r="C214" s="15">
        <f t="shared" si="10"/>
        <v>-709.35562619910127</v>
      </c>
      <c r="D214" s="15">
        <f t="shared" si="11"/>
        <v>-1194.5069060963165</v>
      </c>
    </row>
    <row r="215" spans="1:4">
      <c r="A215" s="33">
        <v>206</v>
      </c>
      <c r="B215" s="23">
        <f t="shared" si="9"/>
        <v>-1903.8625322954179</v>
      </c>
      <c r="C215" s="23">
        <f t="shared" si="10"/>
        <v>-703.54130343302631</v>
      </c>
      <c r="D215" s="23">
        <f t="shared" si="11"/>
        <v>-1200.3212288623915</v>
      </c>
    </row>
    <row r="216" spans="1:4">
      <c r="A216" s="33">
        <v>207</v>
      </c>
      <c r="B216" s="23">
        <f t="shared" si="9"/>
        <v>-1903.8625322954179</v>
      </c>
      <c r="C216" s="23">
        <f t="shared" si="10"/>
        <v>-697.69867915688394</v>
      </c>
      <c r="D216" s="23">
        <f t="shared" si="11"/>
        <v>-1206.1638531385338</v>
      </c>
    </row>
    <row r="217" spans="1:4">
      <c r="A217" s="33">
        <v>208</v>
      </c>
      <c r="B217" s="23">
        <f t="shared" si="9"/>
        <v>-1903.8625322954179</v>
      </c>
      <c r="C217" s="23">
        <f t="shared" si="10"/>
        <v>-691.82761561164295</v>
      </c>
      <c r="D217" s="23">
        <f t="shared" si="11"/>
        <v>-1212.034916683775</v>
      </c>
    </row>
    <row r="218" spans="1:4">
      <c r="A218" s="33">
        <v>209</v>
      </c>
      <c r="B218" s="23">
        <f t="shared" si="9"/>
        <v>-1903.8625322954179</v>
      </c>
      <c r="C218" s="23">
        <f t="shared" si="10"/>
        <v>-685.92797436772264</v>
      </c>
      <c r="D218" s="23">
        <f t="shared" si="11"/>
        <v>-1217.9345579276951</v>
      </c>
    </row>
    <row r="219" spans="1:4">
      <c r="A219" s="33">
        <v>210</v>
      </c>
      <c r="B219" s="23">
        <f t="shared" si="9"/>
        <v>-1903.8625322954179</v>
      </c>
      <c r="C219" s="23">
        <f t="shared" si="10"/>
        <v>-679.99961632173108</v>
      </c>
      <c r="D219" s="23">
        <f t="shared" si="11"/>
        <v>-1223.8629159736868</v>
      </c>
    </row>
    <row r="220" spans="1:4">
      <c r="A220" s="33">
        <v>211</v>
      </c>
      <c r="B220" s="23">
        <f t="shared" si="9"/>
        <v>-1903.8625322954179</v>
      </c>
      <c r="C220" s="23">
        <f t="shared" si="10"/>
        <v>-674.04240169318052</v>
      </c>
      <c r="D220" s="23">
        <f t="shared" si="11"/>
        <v>-1229.8201306022374</v>
      </c>
    </row>
    <row r="221" spans="1:4">
      <c r="A221" s="33">
        <v>212</v>
      </c>
      <c r="B221" s="23">
        <f t="shared" si="9"/>
        <v>-1903.8625322954179</v>
      </c>
      <c r="C221" s="23">
        <f t="shared" si="10"/>
        <v>-668.05619002119749</v>
      </c>
      <c r="D221" s="23">
        <f t="shared" si="11"/>
        <v>-1235.8063422742202</v>
      </c>
    </row>
    <row r="222" spans="1:4">
      <c r="A222" s="33">
        <v>213</v>
      </c>
      <c r="B222" s="23">
        <f t="shared" si="9"/>
        <v>-1903.8625322954179</v>
      </c>
      <c r="C222" s="23">
        <f t="shared" si="10"/>
        <v>-662.0408401612068</v>
      </c>
      <c r="D222" s="23">
        <f t="shared" si="11"/>
        <v>-1241.8216921342109</v>
      </c>
    </row>
    <row r="223" spans="1:4">
      <c r="A223" s="33">
        <v>214</v>
      </c>
      <c r="B223" s="23">
        <f t="shared" si="9"/>
        <v>-1903.8625322954179</v>
      </c>
      <c r="C223" s="23">
        <f t="shared" si="10"/>
        <v>-655.99621028160288</v>
      </c>
      <c r="D223" s="23">
        <f t="shared" si="11"/>
        <v>-1247.8663220138151</v>
      </c>
    </row>
    <row r="224" spans="1:4">
      <c r="A224" s="33">
        <v>215</v>
      </c>
      <c r="B224" s="23">
        <f t="shared" si="9"/>
        <v>-1903.8625322954179</v>
      </c>
      <c r="C224" s="23">
        <f t="shared" si="10"/>
        <v>-649.9221578604122</v>
      </c>
      <c r="D224" s="23">
        <f t="shared" si="11"/>
        <v>-1253.9403744350057</v>
      </c>
    </row>
    <row r="225" spans="1:4">
      <c r="A225" s="35">
        <v>216</v>
      </c>
      <c r="B225" s="18">
        <f t="shared" si="9"/>
        <v>-1903.8625322954179</v>
      </c>
      <c r="C225" s="18">
        <f t="shared" si="10"/>
        <v>-643.81853968192434</v>
      </c>
      <c r="D225" s="18">
        <f t="shared" si="11"/>
        <v>-1260.0439926134936</v>
      </c>
    </row>
    <row r="226" spans="1:4">
      <c r="A226" s="32">
        <v>217</v>
      </c>
      <c r="B226" s="15">
        <f t="shared" si="9"/>
        <v>-1903.8625322954179</v>
      </c>
      <c r="C226" s="15">
        <f t="shared" si="10"/>
        <v>-637.6852118333212</v>
      </c>
      <c r="D226" s="15">
        <f t="shared" si="11"/>
        <v>-1266.1773204620968</v>
      </c>
    </row>
    <row r="227" spans="1:4">
      <c r="A227" s="33">
        <v>218</v>
      </c>
      <c r="B227" s="23">
        <f t="shared" si="9"/>
        <v>-1903.8625322954179</v>
      </c>
      <c r="C227" s="23">
        <f t="shared" si="10"/>
        <v>-631.52202970128144</v>
      </c>
      <c r="D227" s="23">
        <f t="shared" si="11"/>
        <v>-1272.3405025941365</v>
      </c>
    </row>
    <row r="228" spans="1:4">
      <c r="A228" s="33">
        <v>219</v>
      </c>
      <c r="B228" s="23">
        <f t="shared" si="9"/>
        <v>-1903.8625322954179</v>
      </c>
      <c r="C228" s="23">
        <f t="shared" si="10"/>
        <v>-625.32884796857002</v>
      </c>
      <c r="D228" s="23">
        <f t="shared" si="11"/>
        <v>-1278.5336843268478</v>
      </c>
    </row>
    <row r="229" spans="1:4">
      <c r="A229" s="33">
        <v>220</v>
      </c>
      <c r="B229" s="23">
        <f t="shared" si="9"/>
        <v>-1903.8625322954179</v>
      </c>
      <c r="C229" s="23">
        <f t="shared" si="10"/>
        <v>-619.10552061061549</v>
      </c>
      <c r="D229" s="23">
        <f t="shared" si="11"/>
        <v>-1284.7570116848024</v>
      </c>
    </row>
    <row r="230" spans="1:4">
      <c r="A230" s="33">
        <v>221</v>
      </c>
      <c r="B230" s="23">
        <f t="shared" si="9"/>
        <v>-1903.8625322954179</v>
      </c>
      <c r="C230" s="23">
        <f t="shared" si="10"/>
        <v>-612.8519008920606</v>
      </c>
      <c r="D230" s="23">
        <f t="shared" si="11"/>
        <v>-1291.0106314033574</v>
      </c>
    </row>
    <row r="231" spans="1:4">
      <c r="A231" s="33">
        <v>222</v>
      </c>
      <c r="B231" s="23">
        <f t="shared" si="9"/>
        <v>-1903.8625322954179</v>
      </c>
      <c r="C231" s="23">
        <f t="shared" si="10"/>
        <v>-606.56784136331009</v>
      </c>
      <c r="D231" s="23">
        <f t="shared" si="11"/>
        <v>-1297.2946909321076</v>
      </c>
    </row>
    <row r="232" spans="1:4">
      <c r="A232" s="33">
        <v>223</v>
      </c>
      <c r="B232" s="23">
        <f t="shared" si="9"/>
        <v>-1903.8625322954179</v>
      </c>
      <c r="C232" s="23">
        <f t="shared" si="10"/>
        <v>-600.25319385704563</v>
      </c>
      <c r="D232" s="23">
        <f t="shared" si="11"/>
        <v>-1303.6093384383721</v>
      </c>
    </row>
    <row r="233" spans="1:4">
      <c r="A233" s="33">
        <v>224</v>
      </c>
      <c r="B233" s="23">
        <f t="shared" si="9"/>
        <v>-1903.8625322954179</v>
      </c>
      <c r="C233" s="23">
        <f t="shared" si="10"/>
        <v>-593.90780948474344</v>
      </c>
      <c r="D233" s="23">
        <f t="shared" si="11"/>
        <v>-1309.9547228106744</v>
      </c>
    </row>
    <row r="234" spans="1:4">
      <c r="A234" s="33">
        <v>225</v>
      </c>
      <c r="B234" s="23">
        <f t="shared" si="9"/>
        <v>-1903.8625322954179</v>
      </c>
      <c r="C234" s="23">
        <f t="shared" si="10"/>
        <v>-587.53153863315265</v>
      </c>
      <c r="D234" s="23">
        <f t="shared" si="11"/>
        <v>-1316.3309936622652</v>
      </c>
    </row>
    <row r="235" spans="1:4">
      <c r="A235" s="33">
        <v>226</v>
      </c>
      <c r="B235" s="23">
        <f t="shared" si="9"/>
        <v>-1903.8625322954179</v>
      </c>
      <c r="C235" s="23">
        <f t="shared" si="10"/>
        <v>-581.12423096077293</v>
      </c>
      <c r="D235" s="23">
        <f t="shared" si="11"/>
        <v>-1322.7383013346448</v>
      </c>
    </row>
    <row r="236" spans="1:4">
      <c r="A236" s="33">
        <v>227</v>
      </c>
      <c r="B236" s="23">
        <f t="shared" si="9"/>
        <v>-1903.8625322954179</v>
      </c>
      <c r="C236" s="23">
        <f t="shared" si="10"/>
        <v>-574.68573539431043</v>
      </c>
      <c r="D236" s="23">
        <f t="shared" si="11"/>
        <v>-1329.1767969011075</v>
      </c>
    </row>
    <row r="237" spans="1:4">
      <c r="A237" s="35">
        <v>228</v>
      </c>
      <c r="B237" s="18">
        <f t="shared" si="9"/>
        <v>-1903.8625322954179</v>
      </c>
      <c r="C237" s="18">
        <f t="shared" si="10"/>
        <v>-568.21590012511456</v>
      </c>
      <c r="D237" s="18">
        <f t="shared" si="11"/>
        <v>-1335.6466321703033</v>
      </c>
    </row>
    <row r="238" spans="1:4">
      <c r="A238" s="32">
        <v>229</v>
      </c>
      <c r="B238" s="15">
        <f t="shared" si="9"/>
        <v>-1903.8625322954179</v>
      </c>
      <c r="C238" s="15">
        <f t="shared" si="10"/>
        <v>-561.71457260559487</v>
      </c>
      <c r="D238" s="15">
        <f t="shared" si="11"/>
        <v>-1342.147959689823</v>
      </c>
    </row>
    <row r="239" spans="1:4">
      <c r="A239" s="33">
        <v>230</v>
      </c>
      <c r="B239" s="23">
        <f t="shared" si="9"/>
        <v>-1903.8625322954179</v>
      </c>
      <c r="C239" s="23">
        <f t="shared" si="10"/>
        <v>-555.18159954563248</v>
      </c>
      <c r="D239" s="23">
        <f t="shared" si="11"/>
        <v>-1348.6809327497854</v>
      </c>
    </row>
    <row r="240" spans="1:4">
      <c r="A240" s="33">
        <v>231</v>
      </c>
      <c r="B240" s="23">
        <f t="shared" si="9"/>
        <v>-1903.8625322954179</v>
      </c>
      <c r="C240" s="23">
        <f t="shared" si="10"/>
        <v>-548.6168269089585</v>
      </c>
      <c r="D240" s="23">
        <f t="shared" si="11"/>
        <v>-1355.2457053864593</v>
      </c>
    </row>
    <row r="241" spans="1:4">
      <c r="A241" s="33">
        <v>232</v>
      </c>
      <c r="B241" s="23">
        <f t="shared" si="9"/>
        <v>-1903.8625322954179</v>
      </c>
      <c r="C241" s="23">
        <f t="shared" si="10"/>
        <v>-542.02009990952615</v>
      </c>
      <c r="D241" s="23">
        <f t="shared" si="11"/>
        <v>-1361.8424323858917</v>
      </c>
    </row>
    <row r="242" spans="1:4">
      <c r="A242" s="33">
        <v>233</v>
      </c>
      <c r="B242" s="23">
        <f t="shared" si="9"/>
        <v>-1903.8625322954179</v>
      </c>
      <c r="C242" s="23">
        <f t="shared" si="10"/>
        <v>-535.39126300785813</v>
      </c>
      <c r="D242" s="23">
        <f t="shared" si="11"/>
        <v>-1368.4712692875596</v>
      </c>
    </row>
    <row r="243" spans="1:4">
      <c r="A243" s="33">
        <v>234</v>
      </c>
      <c r="B243" s="23">
        <f t="shared" si="9"/>
        <v>-1903.8625322954179</v>
      </c>
      <c r="C243" s="23">
        <f t="shared" si="10"/>
        <v>-528.73015990738133</v>
      </c>
      <c r="D243" s="23">
        <f t="shared" si="11"/>
        <v>-1375.1323723880364</v>
      </c>
    </row>
    <row r="244" spans="1:4">
      <c r="A244" s="33">
        <v>235</v>
      </c>
      <c r="B244" s="23">
        <f t="shared" si="9"/>
        <v>-1903.8625322954179</v>
      </c>
      <c r="C244" s="23">
        <f t="shared" si="10"/>
        <v>-522.03663355074241</v>
      </c>
      <c r="D244" s="23">
        <f t="shared" si="11"/>
        <v>-1381.8258987446754</v>
      </c>
    </row>
    <row r="245" spans="1:4">
      <c r="A245" s="33">
        <v>236</v>
      </c>
      <c r="B245" s="23">
        <f t="shared" si="9"/>
        <v>-1903.8625322954179</v>
      </c>
      <c r="C245" s="23">
        <f t="shared" si="10"/>
        <v>-515.31052611610232</v>
      </c>
      <c r="D245" s="23">
        <f t="shared" si="11"/>
        <v>-1388.5520061793154</v>
      </c>
    </row>
    <row r="246" spans="1:4">
      <c r="A246" s="33">
        <v>237</v>
      </c>
      <c r="B246" s="23">
        <f t="shared" si="9"/>
        <v>-1903.8625322954179</v>
      </c>
      <c r="C246" s="23">
        <f t="shared" si="10"/>
        <v>-508.55167901341582</v>
      </c>
      <c r="D246" s="23">
        <f t="shared" si="11"/>
        <v>-1395.310853282002</v>
      </c>
    </row>
    <row r="247" spans="1:4">
      <c r="A247" s="33">
        <v>238</v>
      </c>
      <c r="B247" s="23">
        <f t="shared" si="9"/>
        <v>-1903.8625322954179</v>
      </c>
      <c r="C247" s="23">
        <f t="shared" si="10"/>
        <v>-501.75993288069435</v>
      </c>
      <c r="D247" s="23">
        <f t="shared" si="11"/>
        <v>-1402.1025994147235</v>
      </c>
    </row>
    <row r="248" spans="1:4">
      <c r="A248" s="33">
        <v>239</v>
      </c>
      <c r="B248" s="23">
        <f t="shared" si="9"/>
        <v>-1903.8625322954179</v>
      </c>
      <c r="C248" s="23">
        <f t="shared" si="10"/>
        <v>-494.93512758024349</v>
      </c>
      <c r="D248" s="23">
        <f t="shared" si="11"/>
        <v>-1408.9274047151744</v>
      </c>
    </row>
    <row r="249" spans="1:4">
      <c r="A249" s="35">
        <v>240</v>
      </c>
      <c r="B249" s="18">
        <f t="shared" si="9"/>
        <v>-1903.8625322954179</v>
      </c>
      <c r="C249" s="18">
        <f t="shared" si="10"/>
        <v>-488.07710219489462</v>
      </c>
      <c r="D249" s="18">
        <f t="shared" si="11"/>
        <v>-1415.7854301005232</v>
      </c>
    </row>
    <row r="250" spans="1:4">
      <c r="A250" s="32">
        <v>241</v>
      </c>
      <c r="B250" s="15">
        <f t="shared" si="9"/>
        <v>-1903.8625322954179</v>
      </c>
      <c r="C250" s="15">
        <f t="shared" si="10"/>
        <v>-481.18569502420388</v>
      </c>
      <c r="D250" s="15">
        <f t="shared" si="11"/>
        <v>-1422.676837271214</v>
      </c>
    </row>
    <row r="251" spans="1:4">
      <c r="A251" s="33">
        <v>242</v>
      </c>
      <c r="B251" s="23">
        <f t="shared" si="9"/>
        <v>-1903.8625322954179</v>
      </c>
      <c r="C251" s="23">
        <f t="shared" si="10"/>
        <v>-474.26074358064398</v>
      </c>
      <c r="D251" s="23">
        <f t="shared" si="11"/>
        <v>-1429.6017887147739</v>
      </c>
    </row>
    <row r="252" spans="1:4">
      <c r="A252" s="33">
        <v>243</v>
      </c>
      <c r="B252" s="23">
        <f t="shared" si="9"/>
        <v>-1903.8625322954179</v>
      </c>
      <c r="C252" s="23">
        <f t="shared" si="10"/>
        <v>-467.30208458577061</v>
      </c>
      <c r="D252" s="23">
        <f t="shared" si="11"/>
        <v>-1436.5604477096472</v>
      </c>
    </row>
    <row r="253" spans="1:4">
      <c r="A253" s="33">
        <v>244</v>
      </c>
      <c r="B253" s="23">
        <f t="shared" si="9"/>
        <v>-1903.8625322954179</v>
      </c>
      <c r="C253" s="23">
        <f t="shared" si="10"/>
        <v>-460.30955396637211</v>
      </c>
      <c r="D253" s="23">
        <f t="shared" si="11"/>
        <v>-1443.5529783290458</v>
      </c>
    </row>
    <row r="254" spans="1:4">
      <c r="A254" s="33">
        <v>245</v>
      </c>
      <c r="B254" s="23">
        <f t="shared" si="9"/>
        <v>-1903.8625322954179</v>
      </c>
      <c r="C254" s="23">
        <f t="shared" si="10"/>
        <v>-453.28298685060406</v>
      </c>
      <c r="D254" s="23">
        <f t="shared" si="11"/>
        <v>-1450.5795454448139</v>
      </c>
    </row>
    <row r="255" spans="1:4">
      <c r="A255" s="33">
        <v>246</v>
      </c>
      <c r="B255" s="23">
        <f t="shared" si="9"/>
        <v>-1903.8625322954179</v>
      </c>
      <c r="C255" s="23">
        <f t="shared" si="10"/>
        <v>-446.22221756409857</v>
      </c>
      <c r="D255" s="23">
        <f t="shared" si="11"/>
        <v>-1457.6403147313192</v>
      </c>
    </row>
    <row r="256" spans="1:4">
      <c r="A256" s="33">
        <v>247</v>
      </c>
      <c r="B256" s="23">
        <f t="shared" si="9"/>
        <v>-1903.8625322954179</v>
      </c>
      <c r="C256" s="23">
        <f t="shared" si="10"/>
        <v>-439.12707962606095</v>
      </c>
      <c r="D256" s="23">
        <f t="shared" si="11"/>
        <v>-1464.7354526693568</v>
      </c>
    </row>
    <row r="257" spans="1:4">
      <c r="A257" s="33">
        <v>248</v>
      </c>
      <c r="B257" s="23">
        <f t="shared" si="9"/>
        <v>-1903.8625322954179</v>
      </c>
      <c r="C257" s="23">
        <f t="shared" si="10"/>
        <v>-431.99740574534178</v>
      </c>
      <c r="D257" s="23">
        <f t="shared" si="11"/>
        <v>-1471.8651265500762</v>
      </c>
    </row>
    <row r="258" spans="1:4">
      <c r="A258" s="33">
        <v>249</v>
      </c>
      <c r="B258" s="23">
        <f t="shared" si="9"/>
        <v>-1903.8625322954179</v>
      </c>
      <c r="C258" s="23">
        <f t="shared" si="10"/>
        <v>-424.83302781649422</v>
      </c>
      <c r="D258" s="23">
        <f t="shared" si="11"/>
        <v>-1479.0295044789236</v>
      </c>
    </row>
    <row r="259" spans="1:4">
      <c r="A259" s="33">
        <v>250</v>
      </c>
      <c r="B259" s="23">
        <f t="shared" si="9"/>
        <v>-1903.8625322954179</v>
      </c>
      <c r="C259" s="23">
        <f t="shared" si="10"/>
        <v>-417.63377691580945</v>
      </c>
      <c r="D259" s="23">
        <f t="shared" si="11"/>
        <v>-1486.2287553796084</v>
      </c>
    </row>
    <row r="260" spans="1:4">
      <c r="A260" s="33">
        <v>251</v>
      </c>
      <c r="B260" s="23">
        <f t="shared" si="9"/>
        <v>-1903.8625322954179</v>
      </c>
      <c r="C260" s="23">
        <f t="shared" si="10"/>
        <v>-410.39948329733198</v>
      </c>
      <c r="D260" s="23">
        <f t="shared" si="11"/>
        <v>-1493.4630489980859</v>
      </c>
    </row>
    <row r="261" spans="1:4">
      <c r="A261" s="35">
        <v>252</v>
      </c>
      <c r="B261" s="18">
        <f t="shared" si="9"/>
        <v>-1903.8625322954179</v>
      </c>
      <c r="C261" s="18">
        <f t="shared" si="10"/>
        <v>-403.12997638886321</v>
      </c>
      <c r="D261" s="18">
        <f t="shared" si="11"/>
        <v>-1500.7325559065546</v>
      </c>
    </row>
    <row r="262" spans="1:4">
      <c r="A262" s="32">
        <v>253</v>
      </c>
      <c r="B262" s="15">
        <f t="shared" si="9"/>
        <v>-1903.8625322954179</v>
      </c>
      <c r="C262" s="15">
        <f t="shared" si="10"/>
        <v>-395.82508478793056</v>
      </c>
      <c r="D262" s="15">
        <f t="shared" si="11"/>
        <v>-1508.0374475074873</v>
      </c>
    </row>
    <row r="263" spans="1:4">
      <c r="A263" s="33">
        <v>254</v>
      </c>
      <c r="B263" s="23">
        <f t="shared" si="9"/>
        <v>-1903.8625322954179</v>
      </c>
      <c r="C263" s="23">
        <f t="shared" si="10"/>
        <v>-388.48463625775702</v>
      </c>
      <c r="D263" s="23">
        <f t="shared" si="11"/>
        <v>-1515.3778960376608</v>
      </c>
    </row>
    <row r="264" spans="1:4">
      <c r="A264" s="33">
        <v>255</v>
      </c>
      <c r="B264" s="23">
        <f t="shared" si="9"/>
        <v>-1903.8625322954179</v>
      </c>
      <c r="C264" s="23">
        <f t="shared" si="10"/>
        <v>-381.10845772318999</v>
      </c>
      <c r="D264" s="23">
        <f t="shared" si="11"/>
        <v>-1522.7540745722279</v>
      </c>
    </row>
    <row r="265" spans="1:4">
      <c r="A265" s="33">
        <v>256</v>
      </c>
      <c r="B265" s="23">
        <f t="shared" si="9"/>
        <v>-1903.8625322954179</v>
      </c>
      <c r="C265" s="23">
        <f t="shared" si="10"/>
        <v>-373.69637526662808</v>
      </c>
      <c r="D265" s="23">
        <f t="shared" si="11"/>
        <v>-1530.1661570287897</v>
      </c>
    </row>
    <row r="266" spans="1:4">
      <c r="A266" s="33">
        <v>257</v>
      </c>
      <c r="B266" s="23">
        <f t="shared" ref="B266:B309" si="12">PMT($B$5,$B$7,$B$3)</f>
        <v>-1903.8625322954179</v>
      </c>
      <c r="C266" s="23">
        <f t="shared" ref="C266:C309" si="13">IPMT($B$5,$A266,$B$7,$B$3)</f>
        <v>-366.24821412391339</v>
      </c>
      <c r="D266" s="23">
        <f t="shared" ref="D266:D309" si="14">PPMT($B$5,$A266,$B$7,$B$3)</f>
        <v>-1537.6143181715045</v>
      </c>
    </row>
    <row r="267" spans="1:4">
      <c r="A267" s="33">
        <v>258</v>
      </c>
      <c r="B267" s="23">
        <f t="shared" si="12"/>
        <v>-1903.8625322954179</v>
      </c>
      <c r="C267" s="23">
        <f t="shared" si="13"/>
        <v>-358.7637986802186</v>
      </c>
      <c r="D267" s="23">
        <f t="shared" si="14"/>
        <v>-1545.0987336151993</v>
      </c>
    </row>
    <row r="268" spans="1:4">
      <c r="A268" s="33">
        <v>259</v>
      </c>
      <c r="B268" s="23">
        <f t="shared" si="12"/>
        <v>-1903.8625322954179</v>
      </c>
      <c r="C268" s="23">
        <f t="shared" si="13"/>
        <v>-351.2429524658989</v>
      </c>
      <c r="D268" s="23">
        <f t="shared" si="14"/>
        <v>-1552.6195798295189</v>
      </c>
    </row>
    <row r="269" spans="1:4">
      <c r="A269" s="33">
        <v>260</v>
      </c>
      <c r="B269" s="23">
        <f t="shared" si="12"/>
        <v>-1903.8625322954179</v>
      </c>
      <c r="C269" s="23">
        <f t="shared" si="13"/>
        <v>-343.68549815233706</v>
      </c>
      <c r="D269" s="23">
        <f t="shared" si="14"/>
        <v>-1560.1770341430808</v>
      </c>
    </row>
    <row r="270" spans="1:4">
      <c r="A270" s="33">
        <v>261</v>
      </c>
      <c r="B270" s="23">
        <f t="shared" si="12"/>
        <v>-1903.8625322954179</v>
      </c>
      <c r="C270" s="23">
        <f t="shared" si="13"/>
        <v>-336.09125754775846</v>
      </c>
      <c r="D270" s="23">
        <f t="shared" si="14"/>
        <v>-1567.7712747476594</v>
      </c>
    </row>
    <row r="271" spans="1:4">
      <c r="A271" s="33">
        <v>262</v>
      </c>
      <c r="B271" s="23">
        <f t="shared" si="12"/>
        <v>-1903.8625322954179</v>
      </c>
      <c r="C271" s="23">
        <f t="shared" si="13"/>
        <v>-328.4600515930324</v>
      </c>
      <c r="D271" s="23">
        <f t="shared" si="14"/>
        <v>-1575.4024807023854</v>
      </c>
    </row>
    <row r="272" spans="1:4">
      <c r="A272" s="33">
        <v>263</v>
      </c>
      <c r="B272" s="23">
        <f t="shared" si="12"/>
        <v>-1903.8625322954179</v>
      </c>
      <c r="C272" s="23">
        <f t="shared" si="13"/>
        <v>-320.79170035744556</v>
      </c>
      <c r="D272" s="23">
        <f t="shared" si="14"/>
        <v>-1583.0708319379723</v>
      </c>
    </row>
    <row r="273" spans="1:4">
      <c r="A273" s="35">
        <v>264</v>
      </c>
      <c r="B273" s="18">
        <f t="shared" si="12"/>
        <v>-1903.8625322954179</v>
      </c>
      <c r="C273" s="18">
        <f t="shared" si="13"/>
        <v>-313.08602303446787</v>
      </c>
      <c r="D273" s="18">
        <f t="shared" si="14"/>
        <v>-1590.77650926095</v>
      </c>
    </row>
    <row r="274" spans="1:4">
      <c r="A274" s="32">
        <v>265</v>
      </c>
      <c r="B274" s="15">
        <f t="shared" si="12"/>
        <v>-1903.8625322954179</v>
      </c>
      <c r="C274" s="15">
        <f t="shared" si="13"/>
        <v>-305.34283793748011</v>
      </c>
      <c r="D274" s="15">
        <f t="shared" si="14"/>
        <v>-1598.5196943579376</v>
      </c>
    </row>
    <row r="275" spans="1:4">
      <c r="A275" s="33">
        <v>266</v>
      </c>
      <c r="B275" s="23">
        <f t="shared" si="12"/>
        <v>-1903.8625322954179</v>
      </c>
      <c r="C275" s="23">
        <f t="shared" si="13"/>
        <v>-297.56196249549583</v>
      </c>
      <c r="D275" s="23">
        <f t="shared" si="14"/>
        <v>-1606.300569799922</v>
      </c>
    </row>
    <row r="276" spans="1:4">
      <c r="A276" s="33">
        <v>267</v>
      </c>
      <c r="B276" s="23">
        <f t="shared" si="12"/>
        <v>-1903.8625322954179</v>
      </c>
      <c r="C276" s="23">
        <f t="shared" si="13"/>
        <v>-289.74321324885574</v>
      </c>
      <c r="D276" s="23">
        <f t="shared" si="14"/>
        <v>-1614.1193190465622</v>
      </c>
    </row>
    <row r="277" spans="1:4">
      <c r="A277" s="33">
        <v>268</v>
      </c>
      <c r="B277" s="23">
        <f t="shared" si="12"/>
        <v>-1903.8625322954179</v>
      </c>
      <c r="C277" s="23">
        <f t="shared" si="13"/>
        <v>-281.88640584489929</v>
      </c>
      <c r="D277" s="23">
        <f t="shared" si="14"/>
        <v>-1621.9761264505187</v>
      </c>
    </row>
    <row r="278" spans="1:4">
      <c r="A278" s="33">
        <v>269</v>
      </c>
      <c r="B278" s="23">
        <f t="shared" si="12"/>
        <v>-1903.8625322954179</v>
      </c>
      <c r="C278" s="23">
        <f t="shared" si="13"/>
        <v>-273.99135503362186</v>
      </c>
      <c r="D278" s="23">
        <f t="shared" si="14"/>
        <v>-1629.871177261796</v>
      </c>
    </row>
    <row r="279" spans="1:4">
      <c r="A279" s="33">
        <v>270</v>
      </c>
      <c r="B279" s="23">
        <f t="shared" si="12"/>
        <v>-1903.8625322954179</v>
      </c>
      <c r="C279" s="23">
        <f t="shared" si="13"/>
        <v>-266.05787466330531</v>
      </c>
      <c r="D279" s="23">
        <f t="shared" si="14"/>
        <v>-1637.8046576321126</v>
      </c>
    </row>
    <row r="280" spans="1:4">
      <c r="A280" s="33">
        <v>271</v>
      </c>
      <c r="B280" s="23">
        <f t="shared" si="12"/>
        <v>-1903.8625322954179</v>
      </c>
      <c r="C280" s="23">
        <f t="shared" si="13"/>
        <v>-258.08577767612599</v>
      </c>
      <c r="D280" s="23">
        <f t="shared" si="14"/>
        <v>-1645.7767546192918</v>
      </c>
    </row>
    <row r="281" spans="1:4">
      <c r="A281" s="33">
        <v>272</v>
      </c>
      <c r="B281" s="23">
        <f t="shared" si="12"/>
        <v>-1903.8625322954179</v>
      </c>
      <c r="C281" s="23">
        <f t="shared" si="13"/>
        <v>-250.07487610375026</v>
      </c>
      <c r="D281" s="23">
        <f t="shared" si="14"/>
        <v>-1653.7876561916676</v>
      </c>
    </row>
    <row r="282" spans="1:4">
      <c r="A282" s="33">
        <v>273</v>
      </c>
      <c r="B282" s="23">
        <f t="shared" si="12"/>
        <v>-1903.8625322954179</v>
      </c>
      <c r="C282" s="23">
        <f t="shared" si="13"/>
        <v>-242.02498106289795</v>
      </c>
      <c r="D282" s="23">
        <f t="shared" si="14"/>
        <v>-1661.8375512325199</v>
      </c>
    </row>
    <row r="283" spans="1:4">
      <c r="A283" s="33">
        <v>274</v>
      </c>
      <c r="B283" s="23">
        <f t="shared" si="12"/>
        <v>-1903.8625322954179</v>
      </c>
      <c r="C283" s="23">
        <f t="shared" si="13"/>
        <v>-233.93590275088823</v>
      </c>
      <c r="D283" s="23">
        <f t="shared" si="14"/>
        <v>-1669.9266295445295</v>
      </c>
    </row>
    <row r="284" spans="1:4">
      <c r="A284" s="33">
        <v>275</v>
      </c>
      <c r="B284" s="23">
        <f t="shared" si="12"/>
        <v>-1903.8625322954179</v>
      </c>
      <c r="C284" s="23">
        <f t="shared" si="13"/>
        <v>-225.80745044116537</v>
      </c>
      <c r="D284" s="23">
        <f t="shared" si="14"/>
        <v>-1678.0550818542524</v>
      </c>
    </row>
    <row r="285" spans="1:4">
      <c r="A285" s="35">
        <v>276</v>
      </c>
      <c r="B285" s="18">
        <f t="shared" si="12"/>
        <v>-1903.8625322954179</v>
      </c>
      <c r="C285" s="18">
        <f t="shared" si="13"/>
        <v>-217.63943247880965</v>
      </c>
      <c r="D285" s="18">
        <f t="shared" si="14"/>
        <v>-1686.2230998166083</v>
      </c>
    </row>
    <row r="286" spans="1:4">
      <c r="A286" s="32">
        <v>277</v>
      </c>
      <c r="B286" s="15">
        <f t="shared" si="12"/>
        <v>-1903.8625322954179</v>
      </c>
      <c r="C286" s="15">
        <f t="shared" si="13"/>
        <v>-209.43165627600175</v>
      </c>
      <c r="D286" s="15">
        <f t="shared" si="14"/>
        <v>-1694.430876019416</v>
      </c>
    </row>
    <row r="287" spans="1:4">
      <c r="A287" s="33">
        <v>278</v>
      </c>
      <c r="B287" s="23">
        <f t="shared" si="12"/>
        <v>-1903.8625322954179</v>
      </c>
      <c r="C287" s="23">
        <f t="shared" si="13"/>
        <v>-201.18392830749988</v>
      </c>
      <c r="D287" s="23">
        <f t="shared" si="14"/>
        <v>-1702.678603987918</v>
      </c>
    </row>
    <row r="288" spans="1:4">
      <c r="A288" s="33">
        <v>279</v>
      </c>
      <c r="B288" s="23">
        <f t="shared" si="12"/>
        <v>-1903.8625322954179</v>
      </c>
      <c r="C288" s="23">
        <f t="shared" si="13"/>
        <v>-192.89605410606103</v>
      </c>
      <c r="D288" s="23">
        <f t="shared" si="14"/>
        <v>-1710.9664781893568</v>
      </c>
    </row>
    <row r="289" spans="1:4">
      <c r="A289" s="33">
        <v>280</v>
      </c>
      <c r="B289" s="23">
        <f t="shared" si="12"/>
        <v>-1903.8625322954179</v>
      </c>
      <c r="C289" s="23">
        <f t="shared" si="13"/>
        <v>-184.56783825786695</v>
      </c>
      <c r="D289" s="23">
        <f t="shared" si="14"/>
        <v>-1719.2946940375509</v>
      </c>
    </row>
    <row r="290" spans="1:4">
      <c r="A290" s="33">
        <v>281</v>
      </c>
      <c r="B290" s="23">
        <f t="shared" si="12"/>
        <v>-1903.8625322954179</v>
      </c>
      <c r="C290" s="23">
        <f t="shared" si="13"/>
        <v>-176.19908439791385</v>
      </c>
      <c r="D290" s="23">
        <f t="shared" si="14"/>
        <v>-1727.6634478975041</v>
      </c>
    </row>
    <row r="291" spans="1:4">
      <c r="A291" s="33">
        <v>282</v>
      </c>
      <c r="B291" s="23">
        <f t="shared" si="12"/>
        <v>-1903.8625322954179</v>
      </c>
      <c r="C291" s="23">
        <f t="shared" si="13"/>
        <v>-167.78959520537714</v>
      </c>
      <c r="D291" s="23">
        <f t="shared" si="14"/>
        <v>-1736.0729370900408</v>
      </c>
    </row>
    <row r="292" spans="1:4">
      <c r="A292" s="33">
        <v>283</v>
      </c>
      <c r="B292" s="23">
        <f t="shared" si="12"/>
        <v>-1903.8625322954179</v>
      </c>
      <c r="C292" s="23">
        <f t="shared" si="13"/>
        <v>-159.3391723989682</v>
      </c>
      <c r="D292" s="23">
        <f t="shared" si="14"/>
        <v>-1744.5233598964496</v>
      </c>
    </row>
    <row r="293" spans="1:4">
      <c r="A293" s="33">
        <v>284</v>
      </c>
      <c r="B293" s="23">
        <f t="shared" si="12"/>
        <v>-1903.8625322954179</v>
      </c>
      <c r="C293" s="23">
        <f t="shared" si="13"/>
        <v>-150.8476167322504</v>
      </c>
      <c r="D293" s="23">
        <f t="shared" si="14"/>
        <v>-1753.0149155631675</v>
      </c>
    </row>
    <row r="294" spans="1:4">
      <c r="A294" s="33">
        <v>285</v>
      </c>
      <c r="B294" s="23">
        <f t="shared" si="12"/>
        <v>-1903.8625322954179</v>
      </c>
      <c r="C294" s="23">
        <f t="shared" si="13"/>
        <v>-142.31472798894498</v>
      </c>
      <c r="D294" s="23">
        <f t="shared" si="14"/>
        <v>-1761.5478043064729</v>
      </c>
    </row>
    <row r="295" spans="1:4">
      <c r="A295" s="33">
        <v>286</v>
      </c>
      <c r="B295" s="23">
        <f t="shared" si="12"/>
        <v>-1903.8625322954179</v>
      </c>
      <c r="C295" s="23">
        <f t="shared" si="13"/>
        <v>-133.74030497821411</v>
      </c>
      <c r="D295" s="23">
        <f t="shared" si="14"/>
        <v>-1770.1222273172039</v>
      </c>
    </row>
    <row r="296" spans="1:4">
      <c r="A296" s="33">
        <v>287</v>
      </c>
      <c r="B296" s="23">
        <f t="shared" si="12"/>
        <v>-1903.8625322954179</v>
      </c>
      <c r="C296" s="23">
        <f t="shared" si="13"/>
        <v>-125.12414552991002</v>
      </c>
      <c r="D296" s="23">
        <f t="shared" si="14"/>
        <v>-1778.7383867655078</v>
      </c>
    </row>
    <row r="297" spans="1:4">
      <c r="A297" s="35">
        <v>288</v>
      </c>
      <c r="B297" s="18">
        <f t="shared" si="12"/>
        <v>-1903.8625322954179</v>
      </c>
      <c r="C297" s="18">
        <f t="shared" si="13"/>
        <v>-116.4660464898118</v>
      </c>
      <c r="D297" s="18">
        <f t="shared" si="14"/>
        <v>-1787.3964858056061</v>
      </c>
    </row>
    <row r="298" spans="1:4">
      <c r="A298" s="33">
        <v>289</v>
      </c>
      <c r="B298" s="23">
        <f t="shared" si="12"/>
        <v>-1903.8625322954179</v>
      </c>
      <c r="C298" s="23">
        <f t="shared" si="13"/>
        <v>-107.76580371483588</v>
      </c>
      <c r="D298" s="23">
        <f t="shared" si="14"/>
        <v>-1796.0967285805821</v>
      </c>
    </row>
    <row r="299" spans="1:4">
      <c r="A299" s="33">
        <v>290</v>
      </c>
      <c r="B299" s="23">
        <f t="shared" si="12"/>
        <v>-1903.8625322954179</v>
      </c>
      <c r="C299" s="23">
        <f t="shared" si="13"/>
        <v>-99.023212068222875</v>
      </c>
      <c r="D299" s="23">
        <f t="shared" si="14"/>
        <v>-1804.839320227195</v>
      </c>
    </row>
    <row r="300" spans="1:4">
      <c r="A300" s="33">
        <v>291</v>
      </c>
      <c r="B300" s="23">
        <f t="shared" si="12"/>
        <v>-1903.8625322954179</v>
      </c>
      <c r="C300" s="23">
        <f t="shared" si="13"/>
        <v>-90.238065414698397</v>
      </c>
      <c r="D300" s="23">
        <f t="shared" si="14"/>
        <v>-1813.6244668807194</v>
      </c>
    </row>
    <row r="301" spans="1:4">
      <c r="A301" s="33">
        <v>292</v>
      </c>
      <c r="B301" s="23">
        <f t="shared" si="12"/>
        <v>-1903.8625322954179</v>
      </c>
      <c r="C301" s="23">
        <f t="shared" si="13"/>
        <v>-81.410156615613303</v>
      </c>
      <c r="D301" s="23">
        <f t="shared" si="14"/>
        <v>-1822.4523756798046</v>
      </c>
    </row>
    <row r="302" spans="1:4">
      <c r="A302" s="33">
        <v>293</v>
      </c>
      <c r="B302" s="23">
        <f t="shared" si="12"/>
        <v>-1903.8625322954179</v>
      </c>
      <c r="C302" s="23">
        <f t="shared" si="13"/>
        <v>-72.539277524061461</v>
      </c>
      <c r="D302" s="23">
        <f t="shared" si="14"/>
        <v>-1831.3232547713565</v>
      </c>
    </row>
    <row r="303" spans="1:4">
      <c r="A303" s="33">
        <v>294</v>
      </c>
      <c r="B303" s="23">
        <f t="shared" si="12"/>
        <v>-1903.8625322954179</v>
      </c>
      <c r="C303" s="23">
        <f t="shared" si="13"/>
        <v>-63.62521897997356</v>
      </c>
      <c r="D303" s="23">
        <f t="shared" si="14"/>
        <v>-1840.2373133154442</v>
      </c>
    </row>
    <row r="304" spans="1:4">
      <c r="A304" s="33">
        <v>295</v>
      </c>
      <c r="B304" s="23">
        <f t="shared" si="12"/>
        <v>-1903.8625322954179</v>
      </c>
      <c r="C304" s="23">
        <f t="shared" si="13"/>
        <v>-54.667770805179302</v>
      </c>
      <c r="D304" s="23">
        <f t="shared" si="14"/>
        <v>-1849.1947614902385</v>
      </c>
    </row>
    <row r="305" spans="1:4">
      <c r="A305" s="33">
        <v>296</v>
      </c>
      <c r="B305" s="23">
        <f t="shared" si="12"/>
        <v>-1903.8625322954179</v>
      </c>
      <c r="C305" s="23">
        <f t="shared" si="13"/>
        <v>-45.666721798458191</v>
      </c>
      <c r="D305" s="23">
        <f t="shared" si="14"/>
        <v>-1858.1958104969597</v>
      </c>
    </row>
    <row r="306" spans="1:4">
      <c r="A306" s="33">
        <v>297</v>
      </c>
      <c r="B306" s="23">
        <f t="shared" si="12"/>
        <v>-1903.8625322954179</v>
      </c>
      <c r="C306" s="23">
        <f t="shared" si="13"/>
        <v>-36.621859730555244</v>
      </c>
      <c r="D306" s="23">
        <f t="shared" si="14"/>
        <v>-1867.2406725648625</v>
      </c>
    </row>
    <row r="307" spans="1:4">
      <c r="A307" s="33">
        <v>298</v>
      </c>
      <c r="B307" s="23">
        <f t="shared" si="12"/>
        <v>-1903.8625322954179</v>
      </c>
      <c r="C307" s="23">
        <f t="shared" si="13"/>
        <v>-27.532971339180758</v>
      </c>
      <c r="D307" s="23">
        <f t="shared" si="14"/>
        <v>-1876.3295609562372</v>
      </c>
    </row>
    <row r="308" spans="1:4">
      <c r="A308" s="33">
        <v>299</v>
      </c>
      <c r="B308" s="23">
        <f t="shared" si="12"/>
        <v>-1903.8625322954179</v>
      </c>
      <c r="C308" s="23">
        <f t="shared" si="13"/>
        <v>-18.39984232397844</v>
      </c>
      <c r="D308" s="23">
        <f t="shared" si="14"/>
        <v>-1885.4626899714394</v>
      </c>
    </row>
    <row r="309" spans="1:4">
      <c r="A309" s="35">
        <v>300</v>
      </c>
      <c r="B309" s="18">
        <f t="shared" si="12"/>
        <v>-1903.8625322954179</v>
      </c>
      <c r="C309" s="18">
        <f t="shared" si="13"/>
        <v>-9.2222573414741902</v>
      </c>
      <c r="D309" s="18">
        <f t="shared" si="14"/>
        <v>-1894.6402749539436</v>
      </c>
    </row>
    <row r="311" spans="1:4" ht="17.25" customHeight="1">
      <c r="A311" s="94" t="s">
        <v>61</v>
      </c>
      <c r="B311" s="95">
        <f>SUM(B10:B309)</f>
        <v>-571158.75968862395</v>
      </c>
      <c r="C311" s="95">
        <f>SUM(C10:C309)</f>
        <v>-271158.7596886286</v>
      </c>
      <c r="D311" s="95">
        <f>SUM(D10:D309)</f>
        <v>-299999.99999999709</v>
      </c>
    </row>
  </sheetData>
  <pageMargins left="0.75" right="0.75" top="1" bottom="1" header="0.5" footer="0.5"/>
  <pageSetup paperSize="9" orientation="portrait" horizontalDpi="100" verticalDpi="1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B13" sqref="B13"/>
    </sheetView>
  </sheetViews>
  <sheetFormatPr baseColWidth="10" defaultColWidth="9.140625" defaultRowHeight="12.75"/>
  <cols>
    <col min="1" max="1" width="25.5703125" style="1" customWidth="1"/>
    <col min="2" max="7" width="9.7109375" style="1" customWidth="1"/>
    <col min="8" max="11" width="9.140625" style="1"/>
    <col min="12" max="12" width="16.28515625" style="1" customWidth="1"/>
    <col min="13" max="13" width="10.28515625" style="1" bestFit="1" customWidth="1"/>
    <col min="14" max="16384" width="9.140625" style="1"/>
  </cols>
  <sheetData>
    <row r="1" spans="1:14" ht="18.75">
      <c r="A1" s="4" t="s">
        <v>15</v>
      </c>
      <c r="L1" s="4" t="s">
        <v>75</v>
      </c>
    </row>
    <row r="2" spans="1:14" s="2" customFormat="1" ht="38.25">
      <c r="A2" s="151" t="s">
        <v>89</v>
      </c>
      <c r="B2" s="152" t="s">
        <v>84</v>
      </c>
      <c r="C2" s="152" t="s">
        <v>85</v>
      </c>
      <c r="D2" s="152" t="s">
        <v>86</v>
      </c>
      <c r="E2" s="152" t="s">
        <v>87</v>
      </c>
      <c r="F2" s="152" t="s">
        <v>88</v>
      </c>
      <c r="G2" s="152" t="s">
        <v>90</v>
      </c>
      <c r="L2" s="108" t="s">
        <v>55</v>
      </c>
      <c r="M2" s="154">
        <v>-25000</v>
      </c>
    </row>
    <row r="3" spans="1:14">
      <c r="A3" s="153">
        <v>-150000</v>
      </c>
      <c r="B3" s="153">
        <v>12000</v>
      </c>
      <c r="C3" s="153">
        <f>B3*1.02</f>
        <v>12240</v>
      </c>
      <c r="D3" s="153">
        <f>C3*1.02</f>
        <v>12484.800000000001</v>
      </c>
      <c r="E3" s="153">
        <f>D3*1.02</f>
        <v>12734.496000000001</v>
      </c>
      <c r="F3" s="153">
        <f>E3*1.02</f>
        <v>12989.185920000002</v>
      </c>
      <c r="G3" s="153">
        <v>160000</v>
      </c>
      <c r="L3" s="106" t="s">
        <v>76</v>
      </c>
      <c r="M3" s="155">
        <v>2000</v>
      </c>
    </row>
    <row r="4" spans="1:14" ht="18" customHeight="1">
      <c r="A4" s="111"/>
      <c r="B4" s="111"/>
      <c r="C4" s="111"/>
      <c r="D4" s="111"/>
      <c r="E4" s="105"/>
      <c r="F4" s="112"/>
      <c r="G4" s="111"/>
      <c r="L4" s="107" t="s">
        <v>77</v>
      </c>
      <c r="M4" s="156">
        <v>6500</v>
      </c>
    </row>
    <row r="5" spans="1:14" ht="18" customHeight="1">
      <c r="A5" s="147" t="s">
        <v>111</v>
      </c>
      <c r="B5" s="111"/>
      <c r="C5" s="111"/>
      <c r="D5" s="111"/>
      <c r="E5" s="105"/>
      <c r="F5" s="112"/>
      <c r="G5" s="111"/>
      <c r="L5" s="107" t="s">
        <v>78</v>
      </c>
      <c r="M5" s="156">
        <v>10000</v>
      </c>
    </row>
    <row r="6" spans="1:14" ht="18.75" customHeight="1">
      <c r="A6" s="110" t="s">
        <v>92</v>
      </c>
      <c r="B6" s="110" t="s">
        <v>93</v>
      </c>
      <c r="C6" s="110" t="s">
        <v>94</v>
      </c>
      <c r="D6" s="110" t="s">
        <v>95</v>
      </c>
      <c r="E6" s="110" t="s">
        <v>96</v>
      </c>
      <c r="F6" s="110" t="s">
        <v>97</v>
      </c>
      <c r="G6" s="111"/>
      <c r="L6" s="109" t="s">
        <v>79</v>
      </c>
      <c r="M6" s="157">
        <v>12500</v>
      </c>
    </row>
    <row r="7" spans="1:14">
      <c r="A7" s="114">
        <f>A3</f>
        <v>-150000</v>
      </c>
      <c r="B7" s="114">
        <f t="shared" ref="B7:E7" si="0">B3</f>
        <v>12000</v>
      </c>
      <c r="C7" s="114">
        <f t="shared" si="0"/>
        <v>12240</v>
      </c>
      <c r="D7" s="114">
        <f t="shared" si="0"/>
        <v>12484.800000000001</v>
      </c>
      <c r="E7" s="114">
        <f t="shared" si="0"/>
        <v>12734.496000000001</v>
      </c>
      <c r="F7" s="114">
        <f>F3+G3</f>
        <v>172989.18591999999</v>
      </c>
      <c r="G7" s="111"/>
      <c r="L7" s="108" t="s">
        <v>80</v>
      </c>
      <c r="M7" s="158">
        <f>SUM(M3:M6)</f>
        <v>31000</v>
      </c>
      <c r="N7" s="160" t="s">
        <v>126</v>
      </c>
    </row>
    <row r="8" spans="1:14">
      <c r="A8" s="111"/>
      <c r="B8" s="111"/>
      <c r="C8" s="111"/>
      <c r="D8" s="111"/>
      <c r="E8" s="111"/>
      <c r="F8" s="112"/>
      <c r="G8" s="111"/>
      <c r="L8" s="108" t="s">
        <v>81</v>
      </c>
      <c r="M8" s="158">
        <f>M7+M2</f>
        <v>6000</v>
      </c>
      <c r="N8" s="160" t="s">
        <v>127</v>
      </c>
    </row>
    <row r="9" spans="1:14" ht="18.75">
      <c r="A9" s="147" t="s">
        <v>117</v>
      </c>
      <c r="B9" s="111"/>
      <c r="C9" s="111"/>
      <c r="D9" s="111"/>
      <c r="E9" s="111"/>
      <c r="F9" s="112"/>
      <c r="G9" s="111"/>
      <c r="L9" s="108" t="s">
        <v>121</v>
      </c>
      <c r="M9" s="159">
        <v>0.05</v>
      </c>
      <c r="N9" s="161"/>
    </row>
    <row r="10" spans="1:14">
      <c r="A10" s="106" t="s">
        <v>83</v>
      </c>
      <c r="B10" s="115">
        <f>SUM(B3:F3)+G3+A3</f>
        <v>72448.481919999991</v>
      </c>
      <c r="C10" s="149" t="s">
        <v>122</v>
      </c>
      <c r="D10" s="111"/>
      <c r="E10" s="111"/>
      <c r="F10" s="111"/>
      <c r="G10" s="111"/>
      <c r="L10" s="118" t="s">
        <v>82</v>
      </c>
      <c r="M10" s="154">
        <f>NPV(M9,M2:M6)</f>
        <v>1640.5813666214417</v>
      </c>
      <c r="N10" s="160" t="s">
        <v>128</v>
      </c>
    </row>
    <row r="11" spans="1:14">
      <c r="A11" s="106" t="s">
        <v>112</v>
      </c>
      <c r="B11" s="148">
        <v>0.05</v>
      </c>
      <c r="C11" s="150"/>
      <c r="D11" s="111"/>
      <c r="E11" s="111"/>
      <c r="F11" s="111"/>
      <c r="G11" s="111"/>
      <c r="L11" s="118" t="s">
        <v>91</v>
      </c>
      <c r="M11" s="119">
        <f>IRR(M2:M6)</f>
        <v>7.34897522471534E-2</v>
      </c>
      <c r="N11" s="160" t="s">
        <v>129</v>
      </c>
    </row>
    <row r="12" spans="1:14">
      <c r="A12" s="106" t="s">
        <v>113</v>
      </c>
      <c r="B12" s="115">
        <f>NPV(B11,0,B3:F3)</f>
        <v>51399.543160871173</v>
      </c>
      <c r="C12" s="149" t="s">
        <v>123</v>
      </c>
      <c r="D12" s="111"/>
      <c r="E12" s="111"/>
      <c r="F12" s="111"/>
      <c r="G12" s="111"/>
    </row>
    <row r="13" spans="1:14">
      <c r="A13" s="109" t="s">
        <v>114</v>
      </c>
      <c r="B13" s="117">
        <f>NPV(5%,0,0,0,0,0,G3)</f>
        <v>119394.46346186039</v>
      </c>
      <c r="C13" s="149" t="s">
        <v>124</v>
      </c>
      <c r="D13" s="111"/>
      <c r="E13" s="111"/>
      <c r="F13" s="111"/>
      <c r="G13" s="111"/>
    </row>
    <row r="14" spans="1:14">
      <c r="A14" s="107" t="s">
        <v>115</v>
      </c>
      <c r="B14" s="116">
        <f>B12+B13</f>
        <v>170794.00662273157</v>
      </c>
      <c r="C14" s="149" t="s">
        <v>116</v>
      </c>
      <c r="D14" s="111"/>
      <c r="E14" s="111"/>
      <c r="F14" s="111"/>
      <c r="G14" s="111"/>
    </row>
    <row r="15" spans="1:14">
      <c r="A15" s="107" t="s">
        <v>118</v>
      </c>
      <c r="B15" s="116">
        <f>B14+A3</f>
        <v>20794.006622731569</v>
      </c>
      <c r="C15" s="149" t="s">
        <v>119</v>
      </c>
      <c r="D15" s="111"/>
      <c r="E15" s="111"/>
      <c r="F15" s="111"/>
      <c r="G15" s="111"/>
    </row>
    <row r="16" spans="1:14">
      <c r="A16" s="118" t="s">
        <v>120</v>
      </c>
      <c r="B16" s="119">
        <f>IRR(A7:F7)</f>
        <v>9.4020216462838604E-2</v>
      </c>
      <c r="C16" s="149" t="s">
        <v>125</v>
      </c>
      <c r="D16" s="111"/>
      <c r="E16" s="111"/>
      <c r="F16" s="111"/>
      <c r="G16" s="111"/>
    </row>
    <row r="17" spans="1:13">
      <c r="A17" s="111"/>
      <c r="B17" s="111"/>
      <c r="C17" s="113"/>
      <c r="D17" s="111"/>
      <c r="E17" s="111"/>
      <c r="F17" s="111"/>
      <c r="G17" s="111"/>
    </row>
    <row r="18" spans="1:13" s="120" customFormat="1">
      <c r="B18" s="121"/>
      <c r="C18" s="122"/>
      <c r="L18" s="1"/>
      <c r="M18" s="1"/>
    </row>
    <row r="19" spans="1:13" s="120" customFormat="1" ht="11.25">
      <c r="A19" s="123"/>
    </row>
    <row r="20" spans="1:13" s="120" customFormat="1" ht="11.25">
      <c r="A20" s="121"/>
    </row>
    <row r="21" spans="1:13" s="120" customFormat="1" ht="11.25">
      <c r="A21" s="121"/>
    </row>
    <row r="22" spans="1:13" s="120" customFormat="1" ht="11.25">
      <c r="A22" s="121"/>
      <c r="B22" s="124"/>
    </row>
    <row r="23" spans="1:13" s="120" customFormat="1" ht="11.25">
      <c r="A23" s="121"/>
      <c r="B23" s="122"/>
      <c r="C23" s="122"/>
      <c r="E23" s="122"/>
    </row>
    <row r="24" spans="1:13" s="120" customFormat="1" ht="11.25">
      <c r="A24" s="121"/>
      <c r="B24" s="122"/>
    </row>
    <row r="25" spans="1:13" s="120" customFormat="1" ht="11.25">
      <c r="B25" s="122"/>
    </row>
    <row r="26" spans="1:13" s="120" customFormat="1" ht="11.25">
      <c r="C26" s="122"/>
      <c r="E26" s="122"/>
    </row>
    <row r="27" spans="1:13" s="120" customFormat="1" ht="11.25"/>
    <row r="28" spans="1:13">
      <c r="L28" s="120"/>
      <c r="M28" s="120"/>
    </row>
  </sheetData>
  <pageMargins left="0.75" right="0.75" top="1" bottom="1" header="0.5" footer="0.5"/>
  <pageSetup paperSize="9" orientation="portrait" horizontalDpi="100" verticalDpi="1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Q18"/>
  <sheetViews>
    <sheetView workbookViewId="0">
      <selection activeCell="D20" sqref="D20"/>
    </sheetView>
  </sheetViews>
  <sheetFormatPr baseColWidth="10" defaultColWidth="9.140625" defaultRowHeight="12.75"/>
  <cols>
    <col min="1" max="1" width="22.140625" style="1" customWidth="1"/>
    <col min="2" max="2" width="21.85546875" style="1" customWidth="1"/>
    <col min="3" max="7" width="9.42578125" style="1" customWidth="1"/>
    <col min="8" max="8" width="12.42578125" style="1" customWidth="1"/>
    <col min="9" max="9" width="10.85546875" style="1" bestFit="1" customWidth="1"/>
    <col min="10" max="12" width="9.140625" style="1"/>
    <col min="13" max="13" width="15.7109375" style="1" customWidth="1"/>
    <col min="14" max="14" width="7" style="1" customWidth="1"/>
    <col min="15" max="16384" width="9.140625" style="1"/>
  </cols>
  <sheetData>
    <row r="1" spans="1:17">
      <c r="A1" s="111"/>
      <c r="B1" s="111"/>
      <c r="C1" s="126"/>
      <c r="D1" s="111"/>
      <c r="E1" s="111"/>
      <c r="F1" s="111"/>
      <c r="G1" s="111"/>
      <c r="H1" s="111"/>
      <c r="I1" s="111"/>
      <c r="J1" s="111"/>
      <c r="M1" s="163" t="s">
        <v>130</v>
      </c>
      <c r="N1" s="1">
        <v>3000</v>
      </c>
      <c r="P1" s="161">
        <v>1</v>
      </c>
      <c r="Q1" s="45">
        <f>SYD(N1,N2,N3,1)</f>
        <v>1400</v>
      </c>
    </row>
    <row r="2" spans="1:17">
      <c r="A2" s="139" t="s">
        <v>98</v>
      </c>
      <c r="B2" s="127" t="s">
        <v>110</v>
      </c>
      <c r="C2" s="111"/>
      <c r="D2" s="111"/>
      <c r="E2" s="111"/>
      <c r="F2" s="111"/>
      <c r="G2" s="111"/>
      <c r="H2" s="111"/>
      <c r="I2" s="111"/>
      <c r="J2" s="111"/>
      <c r="M2" s="163" t="s">
        <v>100</v>
      </c>
      <c r="N2" s="1">
        <v>200</v>
      </c>
      <c r="P2" s="161">
        <v>2</v>
      </c>
      <c r="Q2" s="45">
        <f>SYD(N1,N2,N3,2)</f>
        <v>933.33333333333337</v>
      </c>
    </row>
    <row r="3" spans="1:17">
      <c r="A3" s="140" t="s">
        <v>99</v>
      </c>
      <c r="B3" s="142">
        <v>14200</v>
      </c>
      <c r="C3" s="111"/>
      <c r="D3" s="111"/>
      <c r="E3" s="111"/>
      <c r="F3" s="111"/>
      <c r="G3" s="111"/>
      <c r="H3" s="111"/>
      <c r="I3" s="111"/>
      <c r="J3" s="111"/>
      <c r="M3" s="163" t="s">
        <v>49</v>
      </c>
      <c r="N3" s="1">
        <v>3</v>
      </c>
      <c r="P3" s="161">
        <v>3</v>
      </c>
      <c r="Q3" s="45">
        <f>SYD(N1,N2,N3,3)</f>
        <v>466.66666666666669</v>
      </c>
    </row>
    <row r="4" spans="1:17">
      <c r="A4" s="140" t="s">
        <v>100</v>
      </c>
      <c r="B4" s="142">
        <v>3000</v>
      </c>
      <c r="C4" s="111"/>
      <c r="D4" s="111"/>
      <c r="E4" s="111"/>
      <c r="F4" s="111"/>
      <c r="G4" s="111"/>
      <c r="H4" s="111"/>
      <c r="I4" s="111"/>
      <c r="J4" s="111"/>
    </row>
    <row r="5" spans="1:17">
      <c r="A5" s="141" t="s">
        <v>101</v>
      </c>
      <c r="B5" s="143">
        <v>5</v>
      </c>
      <c r="C5" s="111"/>
      <c r="D5" s="111"/>
      <c r="E5" s="111"/>
      <c r="F5" s="111"/>
      <c r="G5" s="111"/>
      <c r="H5" s="111"/>
      <c r="I5" s="111"/>
      <c r="J5" s="111"/>
    </row>
    <row r="6" spans="1:17">
      <c r="A6" s="111"/>
      <c r="B6" s="111"/>
      <c r="C6" s="111"/>
      <c r="D6" s="111"/>
      <c r="E6" s="111"/>
      <c r="F6" s="111"/>
      <c r="G6" s="111"/>
      <c r="H6" s="111"/>
      <c r="I6" s="111"/>
      <c r="J6" s="111"/>
    </row>
    <row r="7" spans="1:17" ht="17.25" customHeight="1">
      <c r="A7" s="111"/>
      <c r="B7" s="111"/>
      <c r="C7" s="144" t="s">
        <v>104</v>
      </c>
      <c r="D7" s="145"/>
      <c r="E7" s="145"/>
      <c r="F7" s="145"/>
      <c r="G7" s="146"/>
      <c r="H7" s="111"/>
      <c r="I7" s="111"/>
      <c r="J7" s="111"/>
    </row>
    <row r="8" spans="1:17" ht="25.5">
      <c r="A8" s="111"/>
      <c r="B8" s="111"/>
      <c r="C8" s="125" t="s">
        <v>105</v>
      </c>
      <c r="D8" s="125" t="s">
        <v>106</v>
      </c>
      <c r="E8" s="125" t="s">
        <v>107</v>
      </c>
      <c r="F8" s="125" t="s">
        <v>108</v>
      </c>
      <c r="G8" s="125" t="s">
        <v>109</v>
      </c>
      <c r="H8" s="128"/>
      <c r="I8" s="111"/>
      <c r="J8" s="111"/>
    </row>
    <row r="9" spans="1:17">
      <c r="A9" s="129" t="s">
        <v>102</v>
      </c>
      <c r="B9" s="130" t="s">
        <v>103</v>
      </c>
      <c r="C9" s="131">
        <f>$B$3-SLN($B$3,$B$4,$B$5)</f>
        <v>11960</v>
      </c>
      <c r="D9" s="131">
        <f>C9-SLN($B$3,$B$4,$B$5)</f>
        <v>9720</v>
      </c>
      <c r="E9" s="131">
        <f>D9-SLN($B$3,$B$4,$B$5)</f>
        <v>7480</v>
      </c>
      <c r="F9" s="131">
        <f>E9-SLN($B$3,$B$4,$B$5)</f>
        <v>5240</v>
      </c>
      <c r="G9" s="131">
        <f>F9-SLN($B$3,$B$4,$B$5)</f>
        <v>3000</v>
      </c>
      <c r="H9" s="132"/>
      <c r="I9" s="111"/>
      <c r="J9" s="111"/>
    </row>
    <row r="10" spans="1:17">
      <c r="A10" s="133" t="s">
        <v>0</v>
      </c>
      <c r="B10" s="134" t="s">
        <v>1</v>
      </c>
      <c r="C10" s="135">
        <f>$B$3-SYD($B$3,$B$4,$B$5,1)</f>
        <v>10466.666666666666</v>
      </c>
      <c r="D10" s="135">
        <f>C10-SYD($B$3,$B$4,$B$5,2)</f>
        <v>7480</v>
      </c>
      <c r="E10" s="135">
        <f>D10-SYD($B$3,$B$4,$B$5,3)</f>
        <v>5240</v>
      </c>
      <c r="F10" s="135">
        <f>E10-SYD($B$3,$B$4,$B$5,4)</f>
        <v>3746.666666666667</v>
      </c>
      <c r="G10" s="135">
        <f>F10-SYD($B$3,$B$4,$B$5,5)</f>
        <v>3000.0000000000005</v>
      </c>
      <c r="H10" s="132"/>
      <c r="I10" s="111"/>
      <c r="J10" s="111"/>
    </row>
    <row r="11" spans="1:17">
      <c r="A11" s="133" t="s">
        <v>2</v>
      </c>
      <c r="B11" s="134" t="s">
        <v>3</v>
      </c>
      <c r="C11" s="135">
        <f>$B$3-DDB($B$3,$B$4,$B$5,1)</f>
        <v>8520</v>
      </c>
      <c r="D11" s="135">
        <f>C11-DDB($B$3,$B$4,$B$5,2)</f>
        <v>5112</v>
      </c>
      <c r="E11" s="135">
        <f>D11-DDB($B$3,$B$4,$B$5,3)</f>
        <v>3067.2</v>
      </c>
      <c r="F11" s="135">
        <f>E11-DDB($B$3,$B$4,$B$5,4)</f>
        <v>3000</v>
      </c>
      <c r="G11" s="135">
        <f>F11-DDB($B$3,$B$4,$B$5,5)</f>
        <v>3000</v>
      </c>
      <c r="H11" s="132"/>
      <c r="I11" s="111"/>
      <c r="J11" s="111"/>
    </row>
    <row r="12" spans="1:17">
      <c r="A12" s="136" t="s">
        <v>4</v>
      </c>
      <c r="B12" s="137" t="s">
        <v>5</v>
      </c>
      <c r="C12" s="138">
        <f>$B$3-DB($B$3,$B$4,$B$5,1)</f>
        <v>10408.6</v>
      </c>
      <c r="D12" s="138">
        <f>C12-DB($B$3,$B$4,$B$5,2)</f>
        <v>7629.5038000000004</v>
      </c>
      <c r="E12" s="138">
        <f>D12-DB($B$3,$B$4,$B$5,3)</f>
        <v>5592.4262853999999</v>
      </c>
      <c r="F12" s="138">
        <f>E12-DB($B$3,$B$4,$B$5,4)</f>
        <v>4099.2484671982002</v>
      </c>
      <c r="G12" s="138">
        <f>F12-DB($B$3,$B$4,$B$5,5)</f>
        <v>3004.7491264562805</v>
      </c>
      <c r="H12" s="132"/>
      <c r="I12" s="111"/>
      <c r="J12" s="111"/>
    </row>
    <row r="13" spans="1:17">
      <c r="A13" s="111"/>
      <c r="B13" s="111"/>
      <c r="C13" s="111"/>
      <c r="D13" s="111"/>
      <c r="E13" s="111"/>
      <c r="F13" s="111"/>
      <c r="G13" s="111"/>
      <c r="H13" s="111"/>
      <c r="I13" s="111"/>
      <c r="J13" s="111"/>
    </row>
    <row r="14" spans="1:17">
      <c r="A14" s="111"/>
      <c r="B14" s="111"/>
      <c r="C14" s="131">
        <f>SLN($B$3,$B$4,$B$5)</f>
        <v>2240</v>
      </c>
      <c r="D14" s="131">
        <f t="shared" ref="D14:G14" si="0">SLN($B$3,$B$4,$B$5)</f>
        <v>2240</v>
      </c>
      <c r="E14" s="131">
        <f t="shared" si="0"/>
        <v>2240</v>
      </c>
      <c r="F14" s="131">
        <f t="shared" si="0"/>
        <v>2240</v>
      </c>
      <c r="G14" s="131">
        <f t="shared" si="0"/>
        <v>2240</v>
      </c>
      <c r="H14" s="162">
        <f>SUM(C14:G14)</f>
        <v>11200</v>
      </c>
      <c r="I14" s="111"/>
      <c r="J14" s="111"/>
    </row>
    <row r="15" spans="1:17">
      <c r="A15" s="111"/>
      <c r="B15" s="111"/>
      <c r="C15" s="135">
        <f>SYD($B$3,$B$4,$B$5,1)</f>
        <v>3733.3333333333335</v>
      </c>
      <c r="D15" s="135">
        <f>SYD($B$3,$B$4,$B$5,2)</f>
        <v>2986.6666666666665</v>
      </c>
      <c r="E15" s="135">
        <f>SYD($B$3,$B$4,$B$5,3)</f>
        <v>2240</v>
      </c>
      <c r="F15" s="135">
        <f>SYD($B$3,$B$4,$B$5,4)</f>
        <v>1493.3333333333333</v>
      </c>
      <c r="G15" s="135">
        <f>SYD($B$3,$B$4,$B$5,5)</f>
        <v>746.66666666666663</v>
      </c>
      <c r="H15" s="162">
        <f t="shared" ref="H15:H17" si="1">SUM(C15:G15)</f>
        <v>11200</v>
      </c>
      <c r="I15" s="111"/>
      <c r="J15" s="111"/>
    </row>
    <row r="16" spans="1:17">
      <c r="A16" s="111"/>
      <c r="B16" s="111"/>
      <c r="C16" s="135">
        <f>DDB($B$3,$B$4,$B$5,1)</f>
        <v>5680</v>
      </c>
      <c r="D16" s="135">
        <f>DDB($B$3,$B$4,$B$5,2)</f>
        <v>3408</v>
      </c>
      <c r="E16" s="135">
        <f>DDB($B$3,$B$4,$B$5,3)</f>
        <v>2044.8000000000002</v>
      </c>
      <c r="F16" s="135">
        <f>DDB($B$3,$B$4,$B$5,4)</f>
        <v>67.199999999999818</v>
      </c>
      <c r="G16" s="135">
        <f>DDB($B$3,$B$4,$B$5,5)</f>
        <v>0</v>
      </c>
      <c r="H16" s="162">
        <f t="shared" si="1"/>
        <v>11200</v>
      </c>
      <c r="I16" s="111"/>
      <c r="J16" s="111"/>
    </row>
    <row r="17" spans="3:8">
      <c r="C17" s="138">
        <f>DB($B$3,$B$4,$B$5,1)</f>
        <v>3791.4</v>
      </c>
      <c r="D17" s="138">
        <f>DB($B$3,$B$4,$B$5,2)</f>
        <v>2779.0962000000004</v>
      </c>
      <c r="E17" s="138">
        <f>DB($B$3,$B$4,$B$5,3)</f>
        <v>2037.0775146000003</v>
      </c>
      <c r="F17" s="138">
        <f>DB($B$3,$B$4,$B$5,4)</f>
        <v>1493.1778182017999</v>
      </c>
      <c r="G17" s="138">
        <f>DB($B$3,$B$4,$B$5,5)</f>
        <v>1094.4993407419195</v>
      </c>
      <c r="H17" s="162">
        <f t="shared" si="1"/>
        <v>11195.25087354372</v>
      </c>
    </row>
    <row r="18" spans="3:8">
      <c r="D18" s="45"/>
      <c r="E18" s="45"/>
    </row>
  </sheetData>
  <mergeCells count="1">
    <mergeCell ref="C7:G7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Feuil1</vt:lpstr>
      <vt:lpstr>Feuil2</vt:lpstr>
      <vt:lpstr>Feuil3</vt:lpstr>
      <vt:lpstr>Feuil4</vt:lpstr>
      <vt:lpstr>Feuil5</vt:lpstr>
      <vt:lpstr>Feuil6</vt:lpstr>
      <vt:lpstr>Feuil7</vt:lpstr>
    </vt:vector>
  </TitlesOfParts>
  <Company>Xirius Informatique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2007-04-04T15:35:31Z</dcterms:created>
  <dcterms:modified xsi:type="dcterms:W3CDTF">2007-04-06T19:04:18Z</dcterms:modified>
</cp:coreProperties>
</file>