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Servclu1fs\utilisateur\MACFAB\Léa\Florian\L'art du Business plan\Fichiers telecharger def\Fichiers excel Business plan\"/>
    </mc:Choice>
  </mc:AlternateContent>
  <xr:revisionPtr revIDLastSave="0" documentId="13_ncr:1_{0410A76B-DC7F-4FA0-B84A-00F805625CED}" xr6:coauthVersionLast="47" xr6:coauthVersionMax="47" xr10:uidLastSave="{00000000-0000-0000-0000-000000000000}"/>
  <bookViews>
    <workbookView xWindow="-108" yWindow="-108" windowWidth="23256" windowHeight="12576" xr2:uid="{D4CFBF63-99B4-4930-BE63-96E9CCDA73F6}"/>
  </bookViews>
  <sheets>
    <sheet name="Par où commencer " sheetId="4" r:id="rId1"/>
    <sheet name="Compte exploitation" sheetId="1" r:id="rId2"/>
    <sheet name="Compte d'exploitation 3 ans" sheetId="7" r:id="rId3"/>
    <sheet name="Plan de financement " sheetId="2" r:id="rId4"/>
    <sheet name="Calcul du CA prévisionnel" sheetId="6" r:id="rId5"/>
    <sheet name="Plan de trésorerie" sheetId="5" r:id="rId6"/>
  </sheets>
  <definedNames>
    <definedName name="_ftn1" localSheetId="0">'Par où commencer '!#REF!</definedName>
    <definedName name="_ftnref1" localSheetId="0">'Par où commencer '!#REF!</definedName>
    <definedName name="_xlnm.Print_Area" localSheetId="4">'Calcul du CA prévisionnel'!$A$1:$G$36</definedName>
    <definedName name="_xlnm.Print_Area" localSheetId="2">'Compte d''exploitation 3 ans'!$A$1:$H$40</definedName>
    <definedName name="_xlnm.Print_Area" localSheetId="1">'Compte exploitation'!$A$1:$D$40</definedName>
    <definedName name="_xlnm.Print_Area" localSheetId="0">'Par où commencer '!$A$1:$I$19</definedName>
    <definedName name="_xlnm.Print_Area" localSheetId="3">'Plan de financement '!$A$1:$D$30</definedName>
    <definedName name="_xlnm.Print_Area" localSheetId="5">'Plan de trésorerie'!$A$1:$O$64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 i="6" l="1"/>
  <c r="E6" i="6"/>
  <c r="C5" i="6"/>
  <c r="C6" i="6"/>
  <c r="O64" i="5"/>
  <c r="H8" i="7" l="1"/>
  <c r="D8" i="7" s="1"/>
  <c r="H6" i="7"/>
  <c r="D7" i="7" s="1"/>
  <c r="C16" i="7"/>
  <c r="D16" i="7" s="1"/>
  <c r="C17" i="7"/>
  <c r="D17" i="7" s="1"/>
  <c r="F8" i="7"/>
  <c r="B8" i="7"/>
  <c r="C35" i="7"/>
  <c r="D35" i="7"/>
  <c r="B35" i="7"/>
  <c r="B33" i="7"/>
  <c r="B14" i="7"/>
  <c r="C14" i="7" s="1"/>
  <c r="D14" i="7" s="1"/>
  <c r="K27" i="5"/>
  <c r="H27" i="5"/>
  <c r="B7" i="1"/>
  <c r="C8" i="7"/>
  <c r="C7" i="7"/>
  <c r="F6" i="7"/>
  <c r="B7" i="7" s="1"/>
  <c r="G50" i="5"/>
  <c r="C50" i="5"/>
  <c r="D50" i="5"/>
  <c r="E50" i="5"/>
  <c r="F50" i="5"/>
  <c r="H50" i="5"/>
  <c r="I50" i="5"/>
  <c r="J50" i="5"/>
  <c r="K50" i="5"/>
  <c r="L50" i="5"/>
  <c r="M50" i="5"/>
  <c r="C6" i="7"/>
  <c r="D7" i="1"/>
  <c r="C31" i="7"/>
  <c r="C30" i="7"/>
  <c r="C11" i="7"/>
  <c r="B29" i="7"/>
  <c r="D24" i="7"/>
  <c r="C24" i="7"/>
  <c r="B24" i="7"/>
  <c r="H11" i="7"/>
  <c r="G11" i="7"/>
  <c r="F11" i="7"/>
  <c r="G5" i="7"/>
  <c r="G39" i="7" l="1"/>
  <c r="B6" i="7"/>
  <c r="B5" i="7" s="1"/>
  <c r="C5" i="7"/>
  <c r="D6" i="7"/>
  <c r="D5" i="7"/>
  <c r="H5" i="7"/>
  <c r="H39" i="7" s="1"/>
  <c r="F5" i="7"/>
  <c r="F39" i="7" s="1"/>
  <c r="C29" i="5" l="1"/>
  <c r="D29" i="5"/>
  <c r="E29" i="5"/>
  <c r="F29" i="5"/>
  <c r="G29" i="5"/>
  <c r="H29" i="5"/>
  <c r="I29" i="5"/>
  <c r="J29" i="5"/>
  <c r="K29" i="5"/>
  <c r="L29" i="5"/>
  <c r="M29" i="5"/>
  <c r="B29" i="5"/>
  <c r="B46" i="5"/>
  <c r="C46" i="5"/>
  <c r="D46" i="5"/>
  <c r="E46" i="5"/>
  <c r="F46" i="5"/>
  <c r="G46" i="5"/>
  <c r="I23" i="5"/>
  <c r="M10" i="5"/>
  <c r="L10" i="5"/>
  <c r="M25" i="5" s="1"/>
  <c r="K10" i="5"/>
  <c r="L25" i="5" s="1"/>
  <c r="J10" i="5"/>
  <c r="K25" i="5" s="1"/>
  <c r="I10" i="5"/>
  <c r="J25" i="5" s="1"/>
  <c r="H10" i="5"/>
  <c r="I25" i="5" s="1"/>
  <c r="G10" i="5"/>
  <c r="H25" i="5" s="1"/>
  <c r="F10" i="5"/>
  <c r="G25" i="5" s="1"/>
  <c r="E10" i="5"/>
  <c r="F25" i="5" s="1"/>
  <c r="D10" i="5"/>
  <c r="E25" i="5" s="1"/>
  <c r="D26" i="6"/>
  <c r="M8" i="5"/>
  <c r="L8" i="5"/>
  <c r="K8" i="5"/>
  <c r="J22" i="5" s="1"/>
  <c r="J8" i="5"/>
  <c r="I22" i="5" s="1"/>
  <c r="I8" i="5"/>
  <c r="H22" i="5" s="1"/>
  <c r="H8" i="5"/>
  <c r="G22" i="5" s="1"/>
  <c r="G8" i="5"/>
  <c r="F8" i="5"/>
  <c r="E8" i="5"/>
  <c r="D22" i="5" s="1"/>
  <c r="D8" i="5"/>
  <c r="E33" i="5"/>
  <c r="D33" i="5"/>
  <c r="L33" i="5"/>
  <c r="I33" i="5"/>
  <c r="D27" i="6"/>
  <c r="D28" i="6"/>
  <c r="D29" i="6"/>
  <c r="D30" i="6"/>
  <c r="D31" i="6"/>
  <c r="D32" i="6"/>
  <c r="D33" i="6"/>
  <c r="D34" i="6"/>
  <c r="D35" i="6"/>
  <c r="I46" i="5"/>
  <c r="J46" i="5"/>
  <c r="K46" i="5"/>
  <c r="L46" i="5"/>
  <c r="M46" i="5"/>
  <c r="H46" i="5"/>
  <c r="M35" i="5"/>
  <c r="J35" i="5"/>
  <c r="G35" i="5"/>
  <c r="D35" i="5"/>
  <c r="L34" i="5"/>
  <c r="J34" i="5"/>
  <c r="H34" i="5"/>
  <c r="F34" i="5"/>
  <c r="D34" i="5"/>
  <c r="B34" i="5"/>
  <c r="G33" i="5"/>
  <c r="H33" i="5"/>
  <c r="J33" i="5"/>
  <c r="K33" i="5"/>
  <c r="M33" i="5"/>
  <c r="F33" i="5"/>
  <c r="C33" i="5"/>
  <c r="B33" i="5"/>
  <c r="B18" i="1"/>
  <c r="C32" i="5"/>
  <c r="D32" i="5"/>
  <c r="E32" i="5"/>
  <c r="F32" i="5"/>
  <c r="G32" i="5"/>
  <c r="H32" i="5"/>
  <c r="I32" i="5"/>
  <c r="J32" i="5"/>
  <c r="K32" i="5"/>
  <c r="L32" i="5"/>
  <c r="M32" i="5"/>
  <c r="B32" i="5"/>
  <c r="C28" i="5"/>
  <c r="D28" i="5"/>
  <c r="E28" i="5"/>
  <c r="F28" i="5"/>
  <c r="G28" i="5"/>
  <c r="H28" i="5"/>
  <c r="I28" i="5"/>
  <c r="J28" i="5"/>
  <c r="K28" i="5"/>
  <c r="L28" i="5"/>
  <c r="M28" i="5"/>
  <c r="B28" i="5"/>
  <c r="E27" i="5"/>
  <c r="B27" i="5"/>
  <c r="B53" i="5"/>
  <c r="B51" i="5"/>
  <c r="B50" i="5" s="1"/>
  <c r="B52" i="5"/>
  <c r="B26" i="5"/>
  <c r="C26" i="5"/>
  <c r="D26" i="5"/>
  <c r="E26" i="5"/>
  <c r="F26" i="5"/>
  <c r="G26" i="5"/>
  <c r="H26" i="5"/>
  <c r="I26" i="5"/>
  <c r="J26" i="5"/>
  <c r="K26" i="5"/>
  <c r="L26" i="5"/>
  <c r="M26" i="5"/>
  <c r="B11" i="1"/>
  <c r="B23" i="2"/>
  <c r="B6" i="1"/>
  <c r="B5" i="1"/>
  <c r="E5" i="6"/>
  <c r="E7" i="6"/>
  <c r="E8" i="6"/>
  <c r="E9" i="6"/>
  <c r="E10" i="6"/>
  <c r="E4" i="6"/>
  <c r="D11" i="6"/>
  <c r="B11" i="6"/>
  <c r="F5" i="6"/>
  <c r="F7" i="6"/>
  <c r="F8" i="6"/>
  <c r="F9" i="6"/>
  <c r="F10" i="6"/>
  <c r="F4" i="6"/>
  <c r="C10" i="6"/>
  <c r="C9" i="6"/>
  <c r="C8" i="6"/>
  <c r="C7" i="6"/>
  <c r="C4" i="6"/>
  <c r="C17" i="6"/>
  <c r="C18" i="6"/>
  <c r="C19" i="6"/>
  <c r="D19" i="6" s="1"/>
  <c r="E19" i="6" s="1"/>
  <c r="C20" i="6"/>
  <c r="C16" i="6"/>
  <c r="D16" i="6" s="1"/>
  <c r="E16" i="6" s="1"/>
  <c r="G8" i="6" l="1"/>
  <c r="J23" i="5"/>
  <c r="D23" i="5"/>
  <c r="C22" i="5"/>
  <c r="L23" i="5"/>
  <c r="K22" i="5"/>
  <c r="M22" i="5"/>
  <c r="L22" i="5"/>
  <c r="F62" i="5"/>
  <c r="E22" i="5"/>
  <c r="G62" i="5"/>
  <c r="F22" i="5"/>
  <c r="D36" i="6"/>
  <c r="G9" i="6"/>
  <c r="G10" i="6"/>
  <c r="F11" i="6"/>
  <c r="L62" i="5"/>
  <c r="I62" i="5"/>
  <c r="J62" i="5"/>
  <c r="H62" i="5"/>
  <c r="D62" i="5"/>
  <c r="K62" i="5"/>
  <c r="K23" i="5"/>
  <c r="H23" i="5"/>
  <c r="G23" i="5"/>
  <c r="M62" i="5"/>
  <c r="E62" i="5"/>
  <c r="F23" i="5"/>
  <c r="E23" i="5"/>
  <c r="M23" i="5"/>
  <c r="C11" i="6"/>
  <c r="E11" i="6"/>
  <c r="G4" i="6"/>
  <c r="D18" i="6"/>
  <c r="E18" i="6" s="1"/>
  <c r="G5" i="6"/>
  <c r="G7" i="6"/>
  <c r="D17" i="6"/>
  <c r="E17" i="6" s="1"/>
  <c r="D20" i="6"/>
  <c r="E20" i="6" s="1"/>
  <c r="G11" i="6" l="1"/>
  <c r="G12" i="6" s="1"/>
  <c r="B31" i="1"/>
  <c r="B20" i="1"/>
  <c r="B19" i="1"/>
  <c r="B17" i="1"/>
  <c r="B14" i="1"/>
  <c r="B13" i="1"/>
  <c r="B12" i="1"/>
  <c r="C32" i="7" l="1"/>
  <c r="B32" i="1"/>
  <c r="O53" i="5"/>
  <c r="O52" i="5"/>
  <c r="O51" i="5"/>
  <c r="O49" i="5"/>
  <c r="O48" i="5"/>
  <c r="O47" i="5"/>
  <c r="O46" i="5"/>
  <c r="O45" i="5"/>
  <c r="O44" i="5"/>
  <c r="O43" i="5"/>
  <c r="O42" i="5"/>
  <c r="O41" i="5"/>
  <c r="O40" i="5"/>
  <c r="O39" i="5"/>
  <c r="O38" i="5"/>
  <c r="O37" i="5"/>
  <c r="O36" i="5"/>
  <c r="O35" i="5"/>
  <c r="B21" i="7" s="1"/>
  <c r="C21" i="7" s="1"/>
  <c r="D21" i="7" s="1"/>
  <c r="O34" i="5"/>
  <c r="B20" i="7" s="1"/>
  <c r="C20" i="7" s="1"/>
  <c r="D20" i="7" s="1"/>
  <c r="O33" i="5"/>
  <c r="B19" i="7" s="1"/>
  <c r="C19" i="7" s="1"/>
  <c r="D19" i="7" s="1"/>
  <c r="O32" i="5"/>
  <c r="B18" i="7" s="1"/>
  <c r="C18" i="7" s="1"/>
  <c r="D18" i="7" s="1"/>
  <c r="O31" i="5"/>
  <c r="O30" i="5"/>
  <c r="O29" i="5"/>
  <c r="B15" i="7" s="1"/>
  <c r="C15" i="7" s="1"/>
  <c r="D15" i="7" s="1"/>
  <c r="O28" i="5"/>
  <c r="O27" i="5"/>
  <c r="O26" i="5"/>
  <c r="B12" i="7" s="1"/>
  <c r="C12" i="7" s="1"/>
  <c r="O25" i="5"/>
  <c r="O24" i="5"/>
  <c r="O23" i="5"/>
  <c r="O22" i="5"/>
  <c r="O17" i="5"/>
  <c r="O16" i="5"/>
  <c r="O15" i="5"/>
  <c r="O14" i="5"/>
  <c r="O12" i="5"/>
  <c r="O11" i="5"/>
  <c r="O10" i="5"/>
  <c r="O9" i="5"/>
  <c r="O8" i="5"/>
  <c r="B13" i="7" l="1"/>
  <c r="C13" i="7" s="1"/>
  <c r="D13" i="7" s="1"/>
  <c r="D12" i="7"/>
  <c r="D10" i="7" s="1"/>
  <c r="C10" i="7"/>
  <c r="D32" i="7"/>
  <c r="D33" i="7" s="1"/>
  <c r="D29" i="7" s="1"/>
  <c r="D39" i="7" s="1"/>
  <c r="D40" i="7" s="1"/>
  <c r="C33" i="7"/>
  <c r="C29" i="7" s="1"/>
  <c r="C39" i="7" s="1"/>
  <c r="C40" i="7" s="1"/>
  <c r="C63" i="5"/>
  <c r="D63" i="5"/>
  <c r="E63" i="5"/>
  <c r="F63" i="5"/>
  <c r="G63" i="5"/>
  <c r="H63" i="5"/>
  <c r="I63" i="5"/>
  <c r="J63" i="5"/>
  <c r="K63" i="5"/>
  <c r="L63" i="5"/>
  <c r="M63" i="5"/>
  <c r="B63" i="5"/>
  <c r="C21" i="5"/>
  <c r="D21" i="5"/>
  <c r="E21" i="5"/>
  <c r="E55" i="5" s="1"/>
  <c r="F21" i="5"/>
  <c r="G21" i="5"/>
  <c r="H21" i="5"/>
  <c r="I21" i="5"/>
  <c r="J21" i="5"/>
  <c r="K21" i="5"/>
  <c r="L21" i="5"/>
  <c r="M21" i="5"/>
  <c r="M55" i="5" s="1"/>
  <c r="B21" i="5"/>
  <c r="C13" i="5"/>
  <c r="D13" i="5"/>
  <c r="E13" i="5"/>
  <c r="F13" i="5"/>
  <c r="G13" i="5"/>
  <c r="H13" i="5"/>
  <c r="I13" i="5"/>
  <c r="J13" i="5"/>
  <c r="K13" i="5"/>
  <c r="L13" i="5"/>
  <c r="M13" i="5"/>
  <c r="B13" i="5"/>
  <c r="C7" i="5"/>
  <c r="D7" i="5"/>
  <c r="E7" i="5"/>
  <c r="F7" i="5"/>
  <c r="G7" i="5"/>
  <c r="H7" i="5"/>
  <c r="I7" i="5"/>
  <c r="J7" i="5"/>
  <c r="K7" i="5"/>
  <c r="L7" i="5"/>
  <c r="M7" i="5"/>
  <c r="B7" i="5"/>
  <c r="B62" i="5" s="1"/>
  <c r="B10" i="7" l="1"/>
  <c r="B39" i="7" s="1"/>
  <c r="B40" i="7" s="1"/>
  <c r="L64" i="5"/>
  <c r="K64" i="5"/>
  <c r="C62" i="5"/>
  <c r="C64" i="5" s="1"/>
  <c r="F64" i="5"/>
  <c r="M64" i="5"/>
  <c r="E64" i="5"/>
  <c r="D64" i="5"/>
  <c r="J64" i="5"/>
  <c r="O13" i="5"/>
  <c r="O63" i="5"/>
  <c r="O50" i="5"/>
  <c r="I64" i="5"/>
  <c r="H64" i="5"/>
  <c r="G64" i="5"/>
  <c r="O7" i="5"/>
  <c r="O21" i="5"/>
  <c r="K55" i="5"/>
  <c r="C55" i="5"/>
  <c r="D55" i="5"/>
  <c r="L55" i="5"/>
  <c r="F55" i="5"/>
  <c r="J55" i="5"/>
  <c r="I55" i="5"/>
  <c r="H55" i="5"/>
  <c r="G55" i="5"/>
  <c r="B55" i="5"/>
  <c r="K18" i="5"/>
  <c r="C18" i="5"/>
  <c r="B18" i="5"/>
  <c r="F18" i="5"/>
  <c r="M18" i="5"/>
  <c r="E18" i="5"/>
  <c r="H18" i="5"/>
  <c r="G18" i="5"/>
  <c r="D18" i="5"/>
  <c r="L18" i="5"/>
  <c r="J18" i="5"/>
  <c r="I18" i="5"/>
  <c r="B23" i="1"/>
  <c r="D9" i="2"/>
  <c r="B22" i="2"/>
  <c r="B15" i="2"/>
  <c r="B4" i="2"/>
  <c r="D4" i="2"/>
  <c r="D10" i="1"/>
  <c r="D4" i="1"/>
  <c r="B28" i="1"/>
  <c r="B9" i="1"/>
  <c r="C58" i="5" l="1"/>
  <c r="K58" i="5"/>
  <c r="D38" i="1"/>
  <c r="B4" i="1"/>
  <c r="B38" i="1" s="1"/>
  <c r="D30" i="2"/>
  <c r="O55" i="5"/>
  <c r="O62" i="5"/>
  <c r="B64" i="5"/>
  <c r="O18" i="5"/>
  <c r="B58" i="5"/>
  <c r="B59" i="5" s="1"/>
  <c r="C4" i="5" s="1"/>
  <c r="D58" i="5"/>
  <c r="M58" i="5"/>
  <c r="E58" i="5"/>
  <c r="L58" i="5"/>
  <c r="J58" i="5"/>
  <c r="I58" i="5"/>
  <c r="H58" i="5"/>
  <c r="G58" i="5"/>
  <c r="F58" i="5"/>
  <c r="B30" i="2"/>
  <c r="B39" i="1" l="1"/>
  <c r="C59" i="5"/>
  <c r="D4" i="5" s="1"/>
  <c r="D59" i="5" s="1"/>
  <c r="E4" i="5" s="1"/>
  <c r="E59" i="5" s="1"/>
  <c r="F4" i="5" s="1"/>
  <c r="F59" i="5" s="1"/>
  <c r="G4" i="5" s="1"/>
  <c r="G59" i="5" s="1"/>
  <c r="H4" i="5" s="1"/>
  <c r="H59" i="5" l="1"/>
  <c r="I4" i="5" l="1"/>
  <c r="I59" i="5" s="1"/>
  <c r="J4" i="5" s="1"/>
  <c r="J59" i="5" s="1"/>
  <c r="K4" i="5" s="1"/>
  <c r="K59" i="5" l="1"/>
  <c r="L4" i="5" s="1"/>
  <c r="L59" i="5" l="1"/>
  <c r="M4" i="5" s="1"/>
  <c r="M59" i="5" l="1"/>
</calcChain>
</file>

<file path=xl/sharedStrings.xml><?xml version="1.0" encoding="utf-8"?>
<sst xmlns="http://schemas.openxmlformats.org/spreadsheetml/2006/main" count="294" uniqueCount="211">
  <si>
    <t>Charges externes</t>
  </si>
  <si>
    <t>Assurances</t>
  </si>
  <si>
    <t>Autres abonnements</t>
  </si>
  <si>
    <t>Carburant</t>
  </si>
  <si>
    <t>Frais de déplacement et hébergement</t>
  </si>
  <si>
    <t>Eau, électricité, gaz</t>
  </si>
  <si>
    <t>Loyer et charges locatives</t>
  </si>
  <si>
    <t>D'exploitation</t>
  </si>
  <si>
    <t>Hors exploitation</t>
  </si>
  <si>
    <t>Une seule fois</t>
  </si>
  <si>
    <t xml:space="preserve">Véhicule </t>
  </si>
  <si>
    <t xml:space="preserve">Création de site internet </t>
  </si>
  <si>
    <t xml:space="preserve">Impôts et taxes </t>
  </si>
  <si>
    <t xml:space="preserve">Ressources régulières </t>
  </si>
  <si>
    <t xml:space="preserve">Prêt bancaire </t>
  </si>
  <si>
    <t xml:space="preserve">Chiffre d'affaires </t>
  </si>
  <si>
    <t>CA produit 1</t>
  </si>
  <si>
    <t>CA produit 2</t>
  </si>
  <si>
    <t>CA prestations de service 2</t>
  </si>
  <si>
    <t xml:space="preserve">Subventions d’exploitation </t>
  </si>
  <si>
    <t xml:space="preserve">Fournitures diverses (entretien, bureau…) </t>
  </si>
  <si>
    <t xml:space="preserve">Honoraires (comptable, avocat) </t>
  </si>
  <si>
    <t>Publicité et communication</t>
  </si>
  <si>
    <t>Téléphone, internet, frais postaux</t>
  </si>
  <si>
    <t xml:space="preserve">Autre : </t>
  </si>
  <si>
    <t xml:space="preserve">Salaires et charges sociales </t>
  </si>
  <si>
    <t>Salaires bruts des employés</t>
  </si>
  <si>
    <t xml:space="preserve">Charges sociales patronales des employés </t>
  </si>
  <si>
    <t xml:space="preserve">Charges financières </t>
  </si>
  <si>
    <t xml:space="preserve">Dotation aux amortissements </t>
  </si>
  <si>
    <t xml:space="preserve">Produits financiers </t>
  </si>
  <si>
    <t xml:space="preserve">TOTAL DES CHARGES </t>
  </si>
  <si>
    <t xml:space="preserve">TOTAL DES PRODUITS </t>
  </si>
  <si>
    <t xml:space="preserve">Bénéfice brut </t>
  </si>
  <si>
    <t xml:space="preserve">Impôt sur les bénéfices </t>
  </si>
  <si>
    <t xml:space="preserve">PRODUITS (HT) </t>
  </si>
  <si>
    <t xml:space="preserve">CHARGES (HT) </t>
  </si>
  <si>
    <t xml:space="preserve">Rémunération des dirigeants </t>
  </si>
  <si>
    <t>Charges sociales des dirigeants</t>
  </si>
  <si>
    <t xml:space="preserve">Subvention 1 : </t>
  </si>
  <si>
    <t xml:space="preserve">Subvention 2 : </t>
  </si>
  <si>
    <t xml:space="preserve">Compte d'exploitation prévisionnel (première année) </t>
  </si>
  <si>
    <t xml:space="preserve">Plan de financement au démarrage </t>
  </si>
  <si>
    <t xml:space="preserve">Investissements immatériels </t>
  </si>
  <si>
    <t xml:space="preserve">Frais d'immatriculation </t>
  </si>
  <si>
    <t xml:space="preserve">Honoraires </t>
  </si>
  <si>
    <t xml:space="preserve">INPI (dépôt de marque) </t>
  </si>
  <si>
    <t xml:space="preserve">Publicité au démarrage </t>
  </si>
  <si>
    <t xml:space="preserve">Logiciels </t>
  </si>
  <si>
    <t xml:space="preserve">Fonds de commerce </t>
  </si>
  <si>
    <t xml:space="preserve">Brevets et licences </t>
  </si>
  <si>
    <t xml:space="preserve">Investissements matériels </t>
  </si>
  <si>
    <t xml:space="preserve">Investissements financiers </t>
  </si>
  <si>
    <t xml:space="preserve">Dépôt de garantie (loyers…) </t>
  </si>
  <si>
    <t xml:space="preserve">Besoin en fonds de roulement </t>
  </si>
  <si>
    <t>Trésorerie de départ</t>
  </si>
  <si>
    <t xml:space="preserve">Capitaux propres </t>
  </si>
  <si>
    <t xml:space="preserve">Capital social </t>
  </si>
  <si>
    <t xml:space="preserve">Comptes courants d'associés </t>
  </si>
  <si>
    <t xml:space="preserve">Primes et subventions </t>
  </si>
  <si>
    <t xml:space="preserve">Capitaux empruntés </t>
  </si>
  <si>
    <t xml:space="preserve">Prêt d'honneur </t>
  </si>
  <si>
    <t xml:space="preserve">Autres prêts </t>
  </si>
  <si>
    <t xml:space="preserve">Droit d'entrée franchise </t>
  </si>
  <si>
    <t>TOTAL DES BESOINS</t>
  </si>
  <si>
    <t xml:space="preserve">TOTAL DES RESSOURCES </t>
  </si>
  <si>
    <t xml:space="preserve">Contribution éco. territoriale (CET) </t>
  </si>
  <si>
    <t xml:space="preserve">Taxe d’apprentissage </t>
  </si>
  <si>
    <t>Autres (hors IS)</t>
  </si>
  <si>
    <t xml:space="preserve">ENCAISSEMENTS </t>
  </si>
  <si>
    <t>Solde en début de mois</t>
  </si>
  <si>
    <t>Plan de trésorerie (TTC)</t>
  </si>
  <si>
    <t>Commissions versées</t>
  </si>
  <si>
    <t xml:space="preserve">Intérêts et agios </t>
  </si>
  <si>
    <t>TOTAL DES ENCAISSEMENTS</t>
  </si>
  <si>
    <t xml:space="preserve">SOLDES </t>
  </si>
  <si>
    <t>Mobilier</t>
  </si>
  <si>
    <t>Informatique</t>
  </si>
  <si>
    <t>Remboursement de TVA</t>
  </si>
  <si>
    <t>TVA reversée</t>
  </si>
  <si>
    <t xml:space="preserve">Garanties professionnelles </t>
  </si>
  <si>
    <t xml:space="preserve">Prêts </t>
  </si>
  <si>
    <t xml:space="preserve">TVA </t>
  </si>
  <si>
    <t xml:space="preserve">TVA payée sur les dépenses </t>
  </si>
  <si>
    <t xml:space="preserve">Achats / Charges variables </t>
  </si>
  <si>
    <t xml:space="preserve">TVA collectée </t>
  </si>
  <si>
    <t>TOTAL ANNUEL</t>
  </si>
  <si>
    <t xml:space="preserve">Solde mensuel de TVA </t>
  </si>
  <si>
    <t xml:space="preserve">Local professionnel </t>
  </si>
  <si>
    <t>Travaux / aménagements</t>
  </si>
  <si>
    <t>Matériel de cuisine : frigo, fourneau…</t>
  </si>
  <si>
    <t xml:space="preserve">Vaisselle et petit équipement </t>
  </si>
  <si>
    <t xml:space="preserve">Site internet </t>
  </si>
  <si>
    <t>Publicité de départ</t>
  </si>
  <si>
    <t xml:space="preserve">? </t>
  </si>
  <si>
    <t>10 000 €</t>
  </si>
  <si>
    <t>7 000 €</t>
  </si>
  <si>
    <t>3 000 €</t>
  </si>
  <si>
    <t>2 000 €</t>
  </si>
  <si>
    <t>Loyer du local pro</t>
  </si>
  <si>
    <t xml:space="preserve">Matières premières  </t>
  </si>
  <si>
    <t>Emballages</t>
  </si>
  <si>
    <t xml:space="preserve">Frais de livraison </t>
  </si>
  <si>
    <t xml:space="preserve">Rémunération des 2 dirigeants hors charges </t>
  </si>
  <si>
    <t>30% du CA</t>
  </si>
  <si>
    <t>5% du CA</t>
  </si>
  <si>
    <t xml:space="preserve">5 à 8 € / livraison </t>
  </si>
  <si>
    <t>4 000 € / mois</t>
  </si>
  <si>
    <t>Prêt bancaire  </t>
  </si>
  <si>
    <t xml:space="preserve">Véhicule de Chloé </t>
  </si>
  <si>
    <t xml:space="preserve">Livraison de petits déjeuners </t>
  </si>
  <si>
    <t xml:space="preserve">Événements professionnels  </t>
  </si>
  <si>
    <t xml:space="preserve">Achats de matières premières (30% du CA) </t>
  </si>
  <si>
    <t xml:space="preserve">Prestations de sous-traitance (3,50 € / livraison) </t>
  </si>
  <si>
    <t xml:space="preserve">Outillage / matériel </t>
  </si>
  <si>
    <t xml:space="preserve">Lundi </t>
  </si>
  <si>
    <t xml:space="preserve">Mardi </t>
  </si>
  <si>
    <t>Jeudi</t>
  </si>
  <si>
    <t>Vendredi</t>
  </si>
  <si>
    <t>Samedi</t>
  </si>
  <si>
    <t>Dimanche</t>
  </si>
  <si>
    <t xml:space="preserve">Brunch classique </t>
  </si>
  <si>
    <t xml:space="preserve">Brunch anglais </t>
  </si>
  <si>
    <t xml:space="preserve">Brunch healthy </t>
  </si>
  <si>
    <t xml:space="preserve">Brunch vegan </t>
  </si>
  <si>
    <t xml:space="preserve">Brunch enfant </t>
  </si>
  <si>
    <t xml:space="preserve">Marge brute </t>
  </si>
  <si>
    <t>Prix de vente TTC</t>
  </si>
  <si>
    <t>Prix de vente HT</t>
  </si>
  <si>
    <t>Prix de revient HT</t>
  </si>
  <si>
    <t>Produits</t>
  </si>
  <si>
    <t>Nb ventes pro</t>
  </si>
  <si>
    <t>Prestations de sous-traitance</t>
  </si>
  <si>
    <t xml:space="preserve">Petits emballages </t>
  </si>
  <si>
    <t xml:space="preserve">Nb ventes totales </t>
  </si>
  <si>
    <t>CA / jour</t>
  </si>
  <si>
    <t xml:space="preserve">Total </t>
  </si>
  <si>
    <t>Mercredi FERMETURE</t>
  </si>
  <si>
    <t>CA HT</t>
  </si>
  <si>
    <t>Nb ventes partic</t>
  </si>
  <si>
    <t xml:space="preserve">CA prestations de service 1 LIVRAISON </t>
  </si>
  <si>
    <t>Semaine type</t>
  </si>
  <si>
    <t xml:space="preserve">BESOINS (HT) </t>
  </si>
  <si>
    <t xml:space="preserve">RESSOURCES (HT) </t>
  </si>
  <si>
    <t xml:space="preserve">Emballages = 5% du CA </t>
  </si>
  <si>
    <t>Prestations de sous-traitance (3,50€ / livraison)</t>
  </si>
  <si>
    <t xml:space="preserve">Carburant / indemnités kilométriques </t>
  </si>
  <si>
    <t xml:space="preserve">Evolution du CA au cours de la première année </t>
  </si>
  <si>
    <t xml:space="preserve">JUILLET </t>
  </si>
  <si>
    <t>AOÛT</t>
  </si>
  <si>
    <t>SEPTEMBRE</t>
  </si>
  <si>
    <t>OCTOBRE</t>
  </si>
  <si>
    <t>NOVEMBRE</t>
  </si>
  <si>
    <t>DÉCEMBRE</t>
  </si>
  <si>
    <t>JANVIER</t>
  </si>
  <si>
    <t>FÉVRIER</t>
  </si>
  <si>
    <t>MARS</t>
  </si>
  <si>
    <t>AVRIL</t>
  </si>
  <si>
    <t>MAI</t>
  </si>
  <si>
    <t>JUIN</t>
  </si>
  <si>
    <t xml:space="preserve">Juillet </t>
  </si>
  <si>
    <t xml:space="preserve">Août </t>
  </si>
  <si>
    <t>Septembre</t>
  </si>
  <si>
    <t>Octobre</t>
  </si>
  <si>
    <t>Novembre</t>
  </si>
  <si>
    <t>Décembre</t>
  </si>
  <si>
    <t>Janvier</t>
  </si>
  <si>
    <t>Février</t>
  </si>
  <si>
    <t>Mars</t>
  </si>
  <si>
    <t>Avril</t>
  </si>
  <si>
    <t>Mai</t>
  </si>
  <si>
    <t>Juin</t>
  </si>
  <si>
    <t xml:space="preserve">Mois </t>
  </si>
  <si>
    <t xml:space="preserve">CA mensuel </t>
  </si>
  <si>
    <t xml:space="preserve">CA TTC </t>
  </si>
  <si>
    <t xml:space="preserve">CA prestations de service LIVRAISON </t>
  </si>
  <si>
    <t xml:space="preserve">Nbre de livraisons </t>
  </si>
  <si>
    <t>Niveau d'activité</t>
  </si>
  <si>
    <t xml:space="preserve">Achats de matières premières = 30% du CA </t>
  </si>
  <si>
    <t xml:space="preserve">Compte d'exploitation prévisionnel sur 3 ans </t>
  </si>
  <si>
    <t>Année 1</t>
  </si>
  <si>
    <t>Année 2</t>
  </si>
  <si>
    <t>Année 3</t>
  </si>
  <si>
    <t xml:space="preserve">Prestations de sous-traitance </t>
  </si>
  <si>
    <t xml:space="preserve">CA prestations de service 1 / LIVRAISON </t>
  </si>
  <si>
    <t xml:space="preserve">Remboursement de crédits (intérêts + capital) </t>
  </si>
  <si>
    <t xml:space="preserve">Par où commencer ? </t>
  </si>
  <si>
    <t xml:space="preserve">LES BESOINS - Vous listez dans la colonne de gauche les postes de dépenses que vous n’aurez à faire qu’une seule fois et qui correspondent aux besoins permanents de l’entreprise. 
Vous notez dans la colonne de droite les postes de dépenses qui sont générées par l’activité et qui reviendront régulièrement. </t>
  </si>
  <si>
    <t>LES RESSOURCES - Listez ensuite sur une seconde feuille de papier les Ressources de votre entreprise en différenciant les ressources disponibles au démarrage de l’activité et les ressources régulières.</t>
  </si>
  <si>
    <t xml:space="preserve">BESOINS </t>
  </si>
  <si>
    <t xml:space="preserve">RESSOURCES </t>
  </si>
  <si>
    <t>Montant</t>
  </si>
  <si>
    <t>Réguliers</t>
  </si>
  <si>
    <t>Ressources de départ</t>
  </si>
  <si>
    <t>Apport personnel</t>
  </si>
  <si>
    <t>Le compte d’exploitation récapitule les dépenses et les recettes de l’entreprise sur une période donnée, généralement une année ou un exercice comptable. Il est aussi parfois appelé compte de résultat. Les montants qui apparaissent dans le compte d’exploitation sont à indiquer hors taxes. Si vous décidez d’opter pour le régime fiscal de la micro-entreprise, vous devez toutefois les faire apparaître TTC.</t>
  </si>
  <si>
    <t>Le compte d’exploitation récapitule les dépenses et les recettes de l’entreprise sur une période donnée. Il est aussi parfois appelé compte de résultat. Les montants qui apparaissent dans le compte d’exploitation sont à indiquer hors taxes. Si vous décidez d’opter pour le régime fiscal de la micro-entreprise, vous devez toutefois les faire apparaître TTC.</t>
  </si>
  <si>
    <t>Le plan de financement de départ recense les besoins et les ressources durables de l’entreprise. Il se présente sous la forme d’un tableau avec à gauche, les besoins, et à droite, les ressources. Les montants sont à indiquer hors taxes, sauf si votre entreprise n’est pas assujettie à la TVA (dans ce cas, vous indiquerez les montants TTC).</t>
  </si>
  <si>
    <t xml:space="preserve">Le plan de trésorerie prévisionnel reprend mois par mois les dépenses et les recettes de votre entreprise, telles qu’elles auront lieu durant sa première année d’existence. Il vous permet de suivre l’équilibre financier de votre activité et de calculer le solde de trésorerie à la fin de chaque mois. Il vous aide à valider que le montant de trésorerie avec lequel votre entreprise démarre est suffisant pour faire face aux dépenses. Tous les montants sont à faire figurer TTC, quel que soit votre régime fiscal. </t>
  </si>
  <si>
    <t xml:space="preserve">DÉCAISSEMENTS </t>
  </si>
  <si>
    <t>TOTAL DES DÉCAISSEMENTS</t>
  </si>
  <si>
    <t>SOLDE CUMULÉ</t>
  </si>
  <si>
    <t>SOLDE EN FIN DE MOIS</t>
  </si>
  <si>
    <t xml:space="preserve">Si le solde de TVA est positif : vous devrez reverser ce montant à l'État. Vous pouvez reporter le montant de TVA à décaisser chaque trimestre dans la ligne TVA reversée (c'est une charge pour l'entreprise). </t>
  </si>
  <si>
    <t>Si le solde annuel de TVA est négatif : vous pourrez demander un remboursement à l'État (c'est une ressource pour l'entreprise). Vous pouvez reporter le montant de TVA à décaisser dans la partie Encaissements.</t>
  </si>
  <si>
    <t xml:space="preserve">Calcul du CA prévisionnel </t>
  </si>
  <si>
    <t xml:space="preserve">0 % (travaux) </t>
  </si>
  <si>
    <t xml:space="preserve">Total : </t>
  </si>
  <si>
    <t xml:space="preserve">(St Valentin) </t>
  </si>
  <si>
    <t xml:space="preserve">(Fête des mères) </t>
  </si>
  <si>
    <r>
      <t xml:space="preserve">Source : Anne-Sophie Poupin, </t>
    </r>
    <r>
      <rPr>
        <b/>
        <i/>
        <sz val="14"/>
        <color rgb="FFFF0000"/>
        <rFont val="Calibri"/>
        <family val="2"/>
        <scheme val="minor"/>
      </rPr>
      <t>L'Art du business plan</t>
    </r>
    <r>
      <rPr>
        <b/>
        <sz val="14"/>
        <color rgb="FFFF0000"/>
        <rFont val="Calibri"/>
        <family val="2"/>
        <scheme val="minor"/>
      </rPr>
      <t>, éditions Eyrolles,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</si>
</sst>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0\ &quot;€&quot;;[Red]\-#,##0\ &quot;€&quot;"/>
    <numFmt numFmtId="164" formatCode="#,##0\ &quot;€&quot;"/>
    <numFmt numFmtId="165" formatCode="#,##0.00\ &quot;€&quot;"/>
  </numFmts>
  <fonts count="21" x14ac:knownFonts="1">
    <font>
      <sz val="11"/>
      <color theme="1"/>
      <name val="Calibri"/>
      <family val="2"/>
      <scheme val="minor"/>
    </font>
    <font>
      <sz val="11"/>
      <color theme="1"/>
      <name val="Arial"/>
      <family val="2"/>
    </font>
    <font>
      <sz val="20"/>
      <color theme="1"/>
      <name val="Arial"/>
      <family val="2"/>
    </font>
    <font>
      <sz val="10"/>
      <color theme="1"/>
      <name val="Arial"/>
      <family val="2"/>
    </font>
    <font>
      <b/>
      <sz val="10"/>
      <color theme="1"/>
      <name val="Arial"/>
      <family val="2"/>
    </font>
    <font>
      <b/>
      <sz val="12"/>
      <color theme="1"/>
      <name val="Arial"/>
      <family val="2"/>
    </font>
    <font>
      <sz val="8"/>
      <name val="Calibri"/>
      <family val="2"/>
      <scheme val="minor"/>
    </font>
    <font>
      <b/>
      <sz val="10"/>
      <name val="Arial"/>
      <family val="2"/>
    </font>
    <font>
      <b/>
      <i/>
      <sz val="10"/>
      <name val="Arial"/>
      <family val="2"/>
    </font>
    <font>
      <sz val="20"/>
      <name val="Arial"/>
      <family val="2"/>
    </font>
    <font>
      <sz val="10"/>
      <name val="Arial"/>
      <family val="2"/>
    </font>
    <font>
      <b/>
      <sz val="11"/>
      <color theme="1"/>
      <name val="Calibri"/>
      <family val="2"/>
      <scheme val="minor"/>
    </font>
    <font>
      <i/>
      <sz val="11"/>
      <color theme="1"/>
      <name val="Calibri"/>
      <family val="2"/>
      <scheme val="minor"/>
    </font>
    <font>
      <i/>
      <sz val="11"/>
      <color theme="1"/>
      <name val="Arial"/>
      <family val="2"/>
    </font>
    <font>
      <b/>
      <sz val="11"/>
      <color theme="1"/>
      <name val="Arial"/>
      <family val="2"/>
    </font>
    <font>
      <i/>
      <sz val="10"/>
      <color theme="1"/>
      <name val="Arial"/>
      <family val="2"/>
    </font>
    <font>
      <i/>
      <sz val="10"/>
      <name val="Arial"/>
      <family val="2"/>
    </font>
    <font>
      <i/>
      <sz val="10"/>
      <name val="Calibri"/>
      <family val="2"/>
      <scheme val="minor"/>
    </font>
    <font>
      <i/>
      <sz val="10"/>
      <color theme="1"/>
      <name val="Calibri"/>
      <family val="2"/>
      <scheme val="minor"/>
    </font>
    <font>
      <b/>
      <sz val="14"/>
      <color rgb="FFFF0000"/>
      <name val="Calibri"/>
      <family val="2"/>
      <scheme val="minor"/>
    </font>
    <font>
      <b/>
      <i/>
      <sz val="14"/>
      <color rgb="FFFF0000"/>
      <name val="Calibri"/>
      <family val="2"/>
      <scheme val="minor"/>
    </font>
  </fonts>
  <fills count="4">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s>
  <borders count="56">
    <border>
      <left/>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thick">
        <color auto="1"/>
      </left>
      <right style="thick">
        <color auto="1"/>
      </right>
      <top style="thick">
        <color auto="1"/>
      </top>
      <bottom style="thick">
        <color auto="1"/>
      </bottom>
      <diagonal/>
    </border>
    <border>
      <left style="thick">
        <color auto="1"/>
      </left>
      <right/>
      <top style="thick">
        <color auto="1"/>
      </top>
      <bottom/>
      <diagonal/>
    </border>
    <border>
      <left style="thick">
        <color auto="1"/>
      </left>
      <right/>
      <top/>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right/>
      <top style="thick">
        <color auto="1"/>
      </top>
      <bottom style="thick">
        <color auto="1"/>
      </bottom>
      <diagonal/>
    </border>
    <border>
      <left/>
      <right/>
      <top/>
      <bottom style="thick">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top style="medium">
        <color indexed="64"/>
      </top>
      <bottom style="medium">
        <color indexed="64"/>
      </bottom>
      <diagonal/>
    </border>
    <border>
      <left style="medium">
        <color indexed="64"/>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medium">
        <color indexed="64"/>
      </right>
      <top style="thin">
        <color auto="1"/>
      </top>
      <bottom/>
      <diagonal/>
    </border>
    <border>
      <left style="thick">
        <color auto="1"/>
      </left>
      <right style="thick">
        <color auto="1"/>
      </right>
      <top/>
      <bottom/>
      <diagonal/>
    </border>
    <border>
      <left style="thick">
        <color indexed="64"/>
      </left>
      <right style="thin">
        <color auto="1"/>
      </right>
      <top/>
      <bottom/>
      <diagonal/>
    </border>
    <border>
      <left style="thin">
        <color auto="1"/>
      </left>
      <right style="thin">
        <color auto="1"/>
      </right>
      <top/>
      <bottom/>
      <diagonal/>
    </border>
    <border>
      <left style="thin">
        <color auto="1"/>
      </left>
      <right style="thick">
        <color indexed="64"/>
      </right>
      <top/>
      <bottom/>
      <diagonal/>
    </border>
    <border>
      <left style="thick">
        <color indexed="64"/>
      </left>
      <right style="thin">
        <color auto="1"/>
      </right>
      <top style="thick">
        <color indexed="64"/>
      </top>
      <bottom style="medium">
        <color indexed="64"/>
      </bottom>
      <diagonal/>
    </border>
    <border>
      <left style="thin">
        <color auto="1"/>
      </left>
      <right style="thin">
        <color auto="1"/>
      </right>
      <top style="thick">
        <color auto="1"/>
      </top>
      <bottom style="medium">
        <color indexed="64"/>
      </bottom>
      <diagonal/>
    </border>
    <border>
      <left style="thin">
        <color auto="1"/>
      </left>
      <right style="thick">
        <color indexed="64"/>
      </right>
      <top style="thick">
        <color indexed="64"/>
      </top>
      <bottom style="medium">
        <color indexed="64"/>
      </bottom>
      <diagonal/>
    </border>
    <border>
      <left style="thick">
        <color indexed="64"/>
      </left>
      <right style="thin">
        <color auto="1"/>
      </right>
      <top style="thick">
        <color indexed="64"/>
      </top>
      <bottom style="thick">
        <color indexed="64"/>
      </bottom>
      <diagonal/>
    </border>
    <border>
      <left style="thin">
        <color auto="1"/>
      </left>
      <right style="thin">
        <color auto="1"/>
      </right>
      <top style="thick">
        <color indexed="64"/>
      </top>
      <bottom style="thick">
        <color indexed="64"/>
      </bottom>
      <diagonal/>
    </border>
    <border>
      <left style="thin">
        <color auto="1"/>
      </left>
      <right style="thick">
        <color indexed="64"/>
      </right>
      <top style="thick">
        <color indexed="64"/>
      </top>
      <bottom style="thick">
        <color indexed="64"/>
      </bottom>
      <diagonal/>
    </border>
    <border>
      <left style="thick">
        <color auto="1"/>
      </left>
      <right/>
      <top style="medium">
        <color indexed="64"/>
      </top>
      <bottom style="thick">
        <color auto="1"/>
      </bottom>
      <diagonal/>
    </border>
    <border>
      <left style="thick">
        <color indexed="64"/>
      </left>
      <right style="thin">
        <color auto="1"/>
      </right>
      <top style="medium">
        <color indexed="64"/>
      </top>
      <bottom style="thick">
        <color indexed="64"/>
      </bottom>
      <diagonal/>
    </border>
    <border>
      <left style="thin">
        <color auto="1"/>
      </left>
      <right style="thin">
        <color auto="1"/>
      </right>
      <top style="medium">
        <color indexed="64"/>
      </top>
      <bottom style="thick">
        <color indexed="64"/>
      </bottom>
      <diagonal/>
    </border>
    <border>
      <left style="thin">
        <color auto="1"/>
      </left>
      <right style="thick">
        <color indexed="64"/>
      </right>
      <top style="medium">
        <color indexed="64"/>
      </top>
      <bottom style="thick">
        <color indexed="64"/>
      </bottom>
      <diagonal/>
    </border>
    <border>
      <left/>
      <right/>
      <top/>
      <bottom style="medium">
        <color indexed="64"/>
      </bottom>
      <diagonal/>
    </border>
    <border>
      <left style="thin">
        <color indexed="64"/>
      </left>
      <right style="thick">
        <color auto="1"/>
      </right>
      <top style="thick">
        <color auto="1"/>
      </top>
      <bottom/>
      <diagonal/>
    </border>
    <border>
      <left style="thin">
        <color indexed="64"/>
      </left>
      <right/>
      <top style="thick">
        <color auto="1"/>
      </top>
      <bottom/>
      <diagonal/>
    </border>
    <border>
      <left/>
      <right style="thin">
        <color auto="1"/>
      </right>
      <top style="thin">
        <color auto="1"/>
      </top>
      <bottom style="thin">
        <color auto="1"/>
      </bottom>
      <diagonal/>
    </border>
  </borders>
  <cellStyleXfs count="1">
    <xf numFmtId="0" fontId="0" fillId="0" borderId="0"/>
  </cellStyleXfs>
  <cellXfs count="165">
    <xf numFmtId="0" fontId="0" fillId="0" borderId="0" xfId="0"/>
    <xf numFmtId="0" fontId="3" fillId="0" borderId="0" xfId="0" applyFont="1"/>
    <xf numFmtId="0" fontId="3" fillId="0" borderId="0" xfId="0" applyFont="1" applyAlignment="1">
      <alignment vertical="center"/>
    </xf>
    <xf numFmtId="0" fontId="4" fillId="0" borderId="10" xfId="0" applyFont="1" applyBorder="1"/>
    <xf numFmtId="0" fontId="3" fillId="0" borderId="10" xfId="0" applyFont="1" applyBorder="1"/>
    <xf numFmtId="0" fontId="3" fillId="0" borderId="0" xfId="0" applyFont="1" applyBorder="1"/>
    <xf numFmtId="0" fontId="3" fillId="0" borderId="10" xfId="0" applyFont="1" applyBorder="1" applyAlignment="1">
      <alignment wrapText="1"/>
    </xf>
    <xf numFmtId="0" fontId="10" fillId="0" borderId="0" xfId="0" applyFont="1" applyFill="1"/>
    <xf numFmtId="0" fontId="7" fillId="0" borderId="0" xfId="0" applyFont="1" applyFill="1" applyBorder="1" applyAlignment="1">
      <alignment horizontal="center"/>
    </xf>
    <xf numFmtId="6" fontId="10" fillId="0" borderId="1" xfId="0" applyNumberFormat="1" applyFont="1" applyFill="1" applyBorder="1"/>
    <xf numFmtId="0" fontId="7" fillId="0" borderId="0" xfId="0" applyFont="1" applyFill="1" applyBorder="1" applyAlignment="1">
      <alignment horizontal="right"/>
    </xf>
    <xf numFmtId="0" fontId="3" fillId="0" borderId="18" xfId="0" applyFont="1" applyBorder="1"/>
    <xf numFmtId="6" fontId="10" fillId="0" borderId="19" xfId="0" applyNumberFormat="1" applyFont="1" applyFill="1" applyBorder="1"/>
    <xf numFmtId="0" fontId="10" fillId="0" borderId="0" xfId="0" applyFont="1" applyFill="1" applyBorder="1" applyAlignment="1">
      <alignment horizontal="right"/>
    </xf>
    <xf numFmtId="6" fontId="10" fillId="0" borderId="0" xfId="0" applyNumberFormat="1" applyFont="1" applyFill="1" applyBorder="1"/>
    <xf numFmtId="0" fontId="7" fillId="0" borderId="21" xfId="0" applyFont="1" applyFill="1" applyBorder="1" applyAlignment="1">
      <alignment horizontal="center" vertical="center"/>
    </xf>
    <xf numFmtId="0" fontId="10" fillId="0" borderId="2" xfId="0" applyFont="1" applyFill="1" applyBorder="1" applyAlignment="1">
      <alignment horizontal="right"/>
    </xf>
    <xf numFmtId="6" fontId="7" fillId="0" borderId="0" xfId="0" applyNumberFormat="1" applyFont="1" applyFill="1" applyBorder="1"/>
    <xf numFmtId="0" fontId="10" fillId="0" borderId="0" xfId="0" applyFont="1" applyFill="1" applyBorder="1"/>
    <xf numFmtId="0" fontId="3" fillId="0" borderId="18" xfId="0" applyFont="1" applyBorder="1" applyAlignment="1">
      <alignment wrapText="1"/>
    </xf>
    <xf numFmtId="0" fontId="10" fillId="0" borderId="18" xfId="0" applyFont="1" applyFill="1" applyBorder="1"/>
    <xf numFmtId="0" fontId="8" fillId="3" borderId="18" xfId="0" applyFont="1" applyFill="1" applyBorder="1"/>
    <xf numFmtId="6" fontId="7" fillId="3" borderId="1" xfId="0" applyNumberFormat="1" applyFont="1" applyFill="1" applyBorder="1" applyAlignment="1"/>
    <xf numFmtId="0" fontId="7" fillId="3" borderId="20" xfId="0" applyFont="1" applyFill="1" applyBorder="1" applyAlignment="1">
      <alignment horizontal="right"/>
    </xf>
    <xf numFmtId="6" fontId="7" fillId="3" borderId="25" xfId="0" applyNumberFormat="1" applyFont="1" applyFill="1" applyBorder="1"/>
    <xf numFmtId="6" fontId="7" fillId="3" borderId="26" xfId="0" applyNumberFormat="1" applyFont="1" applyFill="1" applyBorder="1"/>
    <xf numFmtId="6" fontId="7" fillId="3" borderId="19" xfId="0" applyNumberFormat="1" applyFont="1" applyFill="1" applyBorder="1" applyAlignment="1"/>
    <xf numFmtId="6" fontId="7" fillId="3" borderId="1" xfId="0" applyNumberFormat="1" applyFont="1" applyFill="1" applyBorder="1"/>
    <xf numFmtId="6" fontId="7" fillId="3" borderId="19" xfId="0" applyNumberFormat="1" applyFont="1" applyFill="1" applyBorder="1"/>
    <xf numFmtId="0" fontId="7" fillId="0" borderId="0" xfId="0" applyFont="1" applyFill="1"/>
    <xf numFmtId="0" fontId="7" fillId="3" borderId="18" xfId="0" applyFont="1" applyFill="1" applyBorder="1" applyAlignment="1">
      <alignment horizontal="right"/>
    </xf>
    <xf numFmtId="6" fontId="7" fillId="3" borderId="22" xfId="0" applyNumberFormat="1" applyFont="1" applyFill="1" applyBorder="1"/>
    <xf numFmtId="6" fontId="7" fillId="3" borderId="23" xfId="0" applyNumberFormat="1" applyFont="1" applyFill="1" applyBorder="1"/>
    <xf numFmtId="6" fontId="10" fillId="3" borderId="21" xfId="0" applyNumberFormat="1" applyFont="1" applyFill="1" applyBorder="1"/>
    <xf numFmtId="0" fontId="4" fillId="3" borderId="9" xfId="0" applyFont="1" applyFill="1" applyBorder="1"/>
    <xf numFmtId="0" fontId="4" fillId="3" borderId="10" xfId="0" applyFont="1" applyFill="1" applyBorder="1"/>
    <xf numFmtId="0" fontId="4" fillId="3" borderId="0" xfId="0" applyFont="1" applyFill="1" applyBorder="1"/>
    <xf numFmtId="0" fontId="4" fillId="3" borderId="11" xfId="0" applyFont="1" applyFill="1" applyBorder="1"/>
    <xf numFmtId="0" fontId="4" fillId="3" borderId="13" xfId="0" applyFont="1" applyFill="1" applyBorder="1"/>
    <xf numFmtId="0" fontId="4" fillId="3" borderId="2" xfId="0" applyFont="1" applyFill="1" applyBorder="1"/>
    <xf numFmtId="0" fontId="10" fillId="0" borderId="18" xfId="0" applyFont="1" applyBorder="1"/>
    <xf numFmtId="6" fontId="10" fillId="0" borderId="1" xfId="0" applyNumberFormat="1" applyFont="1" applyBorder="1"/>
    <xf numFmtId="6" fontId="10" fillId="0" borderId="19" xfId="0" applyNumberFormat="1" applyFont="1" applyBorder="1"/>
    <xf numFmtId="0" fontId="10" fillId="0" borderId="20" xfId="0" applyFont="1" applyBorder="1"/>
    <xf numFmtId="6" fontId="10" fillId="0" borderId="25" xfId="0" applyNumberFormat="1" applyFont="1" applyBorder="1"/>
    <xf numFmtId="6" fontId="10" fillId="0" borderId="26" xfId="0" applyNumberFormat="1" applyFont="1" applyBorder="1"/>
    <xf numFmtId="0" fontId="10" fillId="0" borderId="0" xfId="0" applyFont="1"/>
    <xf numFmtId="6" fontId="10" fillId="0" borderId="0" xfId="0" applyNumberFormat="1" applyFont="1"/>
    <xf numFmtId="0" fontId="7" fillId="0" borderId="29" xfId="0" applyFont="1" applyBorder="1"/>
    <xf numFmtId="6" fontId="7" fillId="3" borderId="31" xfId="0" applyNumberFormat="1" applyFont="1" applyFill="1" applyBorder="1"/>
    <xf numFmtId="6" fontId="10" fillId="0" borderId="31" xfId="0" applyNumberFormat="1" applyFont="1" applyBorder="1"/>
    <xf numFmtId="6" fontId="7" fillId="3" borderId="32" xfId="0" applyNumberFormat="1" applyFont="1" applyFill="1" applyBorder="1"/>
    <xf numFmtId="0" fontId="7" fillId="0" borderId="0" xfId="0" applyFont="1"/>
    <xf numFmtId="0" fontId="10" fillId="2" borderId="30" xfId="0" applyFont="1" applyFill="1" applyBorder="1"/>
    <xf numFmtId="6" fontId="10" fillId="0" borderId="32" xfId="0" applyNumberFormat="1" applyFont="1" applyBorder="1"/>
    <xf numFmtId="0" fontId="7" fillId="2" borderId="15" xfId="0" applyFont="1" applyFill="1" applyBorder="1" applyAlignment="1"/>
    <xf numFmtId="0" fontId="0" fillId="2" borderId="16" xfId="0" applyFill="1" applyBorder="1" applyAlignment="1"/>
    <xf numFmtId="0" fontId="0" fillId="2" borderId="17" xfId="0" applyFill="1" applyBorder="1" applyAlignment="1"/>
    <xf numFmtId="0" fontId="11" fillId="0" borderId="0" xfId="0" applyFont="1"/>
    <xf numFmtId="0" fontId="7" fillId="0" borderId="29" xfId="0" applyFont="1" applyFill="1" applyBorder="1" applyAlignment="1">
      <alignment horizontal="center" vertical="center"/>
    </xf>
    <xf numFmtId="6" fontId="10" fillId="0" borderId="35" xfId="0" applyNumberFormat="1" applyFont="1" applyFill="1" applyBorder="1"/>
    <xf numFmtId="6" fontId="10" fillId="0" borderId="36" xfId="0" applyNumberFormat="1" applyFont="1" applyFill="1" applyBorder="1"/>
    <xf numFmtId="6" fontId="10" fillId="0" borderId="37" xfId="0" applyNumberFormat="1" applyFont="1" applyBorder="1"/>
    <xf numFmtId="0" fontId="4" fillId="2" borderId="8" xfId="0" applyFont="1" applyFill="1" applyBorder="1" applyAlignment="1">
      <alignment horizontal="center" vertical="center"/>
    </xf>
    <xf numFmtId="0" fontId="4" fillId="3" borderId="38" xfId="0" applyFont="1" applyFill="1" applyBorder="1"/>
    <xf numFmtId="164" fontId="4" fillId="3" borderId="39" xfId="0" applyNumberFormat="1" applyFont="1" applyFill="1" applyBorder="1"/>
    <xf numFmtId="164" fontId="4" fillId="3" borderId="40" xfId="0" applyNumberFormat="1" applyFont="1" applyFill="1" applyBorder="1"/>
    <xf numFmtId="164" fontId="4" fillId="3" borderId="41" xfId="0" applyNumberFormat="1" applyFont="1" applyFill="1" applyBorder="1"/>
    <xf numFmtId="0" fontId="4" fillId="3" borderId="0" xfId="0" applyFont="1" applyFill="1"/>
    <xf numFmtId="0" fontId="3" fillId="0" borderId="38" xfId="0" applyFont="1" applyBorder="1"/>
    <xf numFmtId="164" fontId="3" fillId="0" borderId="39" xfId="0" applyNumberFormat="1" applyFont="1" applyBorder="1"/>
    <xf numFmtId="164" fontId="3" fillId="0" borderId="40" xfId="0" applyNumberFormat="1" applyFont="1" applyBorder="1"/>
    <xf numFmtId="164" fontId="3" fillId="0" borderId="41" xfId="0" applyNumberFormat="1" applyFont="1" applyBorder="1"/>
    <xf numFmtId="0" fontId="3" fillId="0" borderId="39" xfId="0" applyFont="1" applyBorder="1"/>
    <xf numFmtId="0" fontId="3" fillId="0" borderId="40" xfId="0" applyFont="1" applyBorder="1"/>
    <xf numFmtId="0" fontId="3" fillId="0" borderId="41" xfId="0" applyFont="1" applyBorder="1"/>
    <xf numFmtId="0" fontId="3" fillId="0" borderId="38" xfId="0" applyFont="1" applyBorder="1" applyAlignment="1">
      <alignment wrapText="1"/>
    </xf>
    <xf numFmtId="164" fontId="4" fillId="0" borderId="39" xfId="0" applyNumberFormat="1" applyFont="1" applyBorder="1"/>
    <xf numFmtId="164" fontId="4" fillId="0" borderId="40" xfId="0" applyNumberFormat="1" applyFont="1" applyBorder="1"/>
    <xf numFmtId="164" fontId="4" fillId="0" borderId="41" xfId="0" applyNumberFormat="1" applyFont="1" applyBorder="1"/>
    <xf numFmtId="164" fontId="4" fillId="3" borderId="45" xfId="0" applyNumberFormat="1" applyFont="1" applyFill="1" applyBorder="1"/>
    <xf numFmtId="164" fontId="4" fillId="3" borderId="46" xfId="0" applyNumberFormat="1" applyFont="1" applyFill="1" applyBorder="1"/>
    <xf numFmtId="164" fontId="4" fillId="3" borderId="47" xfId="0" applyNumberFormat="1" applyFont="1" applyFill="1" applyBorder="1"/>
    <xf numFmtId="0" fontId="4" fillId="3" borderId="48" xfId="0" applyFont="1" applyFill="1" applyBorder="1"/>
    <xf numFmtId="0" fontId="0" fillId="0" borderId="0" xfId="0" applyAlignment="1"/>
    <xf numFmtId="164" fontId="0" fillId="0" borderId="0" xfId="0" applyNumberFormat="1"/>
    <xf numFmtId="0" fontId="12" fillId="0" borderId="0" xfId="0" applyFont="1"/>
    <xf numFmtId="0" fontId="14" fillId="2" borderId="4"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 fillId="0" borderId="6" xfId="0" applyFont="1" applyBorder="1" applyAlignment="1">
      <alignment vertical="center" wrapText="1"/>
    </xf>
    <xf numFmtId="0" fontId="1" fillId="0" borderId="6" xfId="0" applyFont="1" applyBorder="1" applyAlignment="1">
      <alignment horizontal="right" vertical="center" wrapText="1"/>
    </xf>
    <xf numFmtId="0" fontId="1" fillId="0" borderId="7" xfId="0" applyFont="1" applyBorder="1" applyAlignment="1">
      <alignment vertical="center" wrapText="1"/>
    </xf>
    <xf numFmtId="164" fontId="1" fillId="0" borderId="7" xfId="0" applyNumberFormat="1" applyFont="1" applyBorder="1" applyAlignment="1">
      <alignment vertical="center" wrapText="1"/>
    </xf>
    <xf numFmtId="6" fontId="1" fillId="0" borderId="6" xfId="0" applyNumberFormat="1" applyFont="1" applyBorder="1" applyAlignment="1">
      <alignment horizontal="right" vertical="center" wrapText="1"/>
    </xf>
    <xf numFmtId="6" fontId="1" fillId="0" borderId="6" xfId="0" applyNumberFormat="1" applyFont="1" applyBorder="1" applyAlignment="1">
      <alignment vertical="center" wrapText="1"/>
    </xf>
    <xf numFmtId="0" fontId="1" fillId="0" borderId="4" xfId="0" applyFont="1" applyBorder="1" applyAlignment="1">
      <alignment vertical="center" wrapText="1"/>
    </xf>
    <xf numFmtId="6" fontId="1" fillId="0" borderId="4" xfId="0" applyNumberFormat="1" applyFont="1" applyBorder="1" applyAlignment="1">
      <alignment horizontal="right" vertical="center" wrapText="1"/>
    </xf>
    <xf numFmtId="6" fontId="1" fillId="0" borderId="4" xfId="0" applyNumberFormat="1" applyFont="1" applyBorder="1" applyAlignment="1">
      <alignment vertical="center" wrapText="1"/>
    </xf>
    <xf numFmtId="164" fontId="1" fillId="0" borderId="6" xfId="0" applyNumberFormat="1" applyFont="1" applyBorder="1" applyAlignment="1">
      <alignment vertical="center" wrapText="1"/>
    </xf>
    <xf numFmtId="0" fontId="1" fillId="0" borderId="4" xfId="0" applyFont="1" applyBorder="1" applyAlignment="1">
      <alignment horizontal="right" vertical="center" wrapText="1"/>
    </xf>
    <xf numFmtId="164" fontId="1" fillId="0" borderId="4" xfId="0" applyNumberFormat="1" applyFont="1" applyBorder="1" applyAlignment="1">
      <alignment vertical="center" wrapText="1"/>
    </xf>
    <xf numFmtId="164" fontId="4" fillId="3" borderId="53" xfId="0" applyNumberFormat="1" applyFont="1" applyFill="1" applyBorder="1"/>
    <xf numFmtId="164" fontId="3" fillId="0" borderId="41" xfId="0" applyNumberFormat="1" applyFont="1" applyFill="1" applyBorder="1"/>
    <xf numFmtId="0" fontId="3" fillId="0" borderId="41" xfId="0" applyFont="1" applyFill="1" applyBorder="1"/>
    <xf numFmtId="164" fontId="4" fillId="3" borderId="54" xfId="0" applyNumberFormat="1" applyFont="1" applyFill="1" applyBorder="1"/>
    <xf numFmtId="164" fontId="4" fillId="3" borderId="23" xfId="0" applyNumberFormat="1" applyFont="1" applyFill="1" applyBorder="1"/>
    <xf numFmtId="6" fontId="4" fillId="3" borderId="23" xfId="0" applyNumberFormat="1" applyFont="1" applyFill="1" applyBorder="1"/>
    <xf numFmtId="6" fontId="4" fillId="3" borderId="42" xfId="0" applyNumberFormat="1" applyFont="1" applyFill="1" applyBorder="1"/>
    <xf numFmtId="6" fontId="4" fillId="3" borderId="43" xfId="0" applyNumberFormat="1" applyFont="1" applyFill="1" applyBorder="1"/>
    <xf numFmtId="6" fontId="4" fillId="3" borderId="44" xfId="0" applyNumberFormat="1" applyFont="1" applyFill="1" applyBorder="1"/>
    <xf numFmtId="6" fontId="4" fillId="3" borderId="49" xfId="0" applyNumberFormat="1" applyFont="1" applyFill="1" applyBorder="1"/>
    <xf numFmtId="6" fontId="4" fillId="3" borderId="50" xfId="0" applyNumberFormat="1" applyFont="1" applyFill="1" applyBorder="1"/>
    <xf numFmtId="6" fontId="4" fillId="3" borderId="51" xfId="0" applyNumberFormat="1" applyFont="1" applyFill="1" applyBorder="1"/>
    <xf numFmtId="164" fontId="4" fillId="0" borderId="41" xfId="0" applyNumberFormat="1" applyFont="1" applyFill="1" applyBorder="1"/>
    <xf numFmtId="0" fontId="3" fillId="0" borderId="34" xfId="0" applyFont="1" applyFill="1" applyBorder="1"/>
    <xf numFmtId="0" fontId="16" fillId="0" borderId="0" xfId="0" applyFont="1"/>
    <xf numFmtId="0" fontId="1" fillId="0" borderId="0" xfId="0" applyFont="1"/>
    <xf numFmtId="0" fontId="14" fillId="3" borderId="1" xfId="0" applyFont="1" applyFill="1" applyBorder="1" applyAlignment="1">
      <alignment horizontal="center"/>
    </xf>
    <xf numFmtId="0" fontId="1" fillId="0" borderId="1" xfId="0" applyFont="1" applyBorder="1"/>
    <xf numFmtId="165" fontId="1" fillId="0" borderId="1" xfId="0" applyNumberFormat="1" applyFont="1" applyBorder="1"/>
    <xf numFmtId="0" fontId="1" fillId="0" borderId="1" xfId="0" applyFont="1" applyFill="1" applyBorder="1"/>
    <xf numFmtId="0" fontId="13" fillId="0" borderId="1" xfId="0" applyFont="1" applyFill="1" applyBorder="1"/>
    <xf numFmtId="0" fontId="14" fillId="0" borderId="1" xfId="0" applyFont="1" applyBorder="1"/>
    <xf numFmtId="165" fontId="14" fillId="0" borderId="1" xfId="0" applyNumberFormat="1" applyFont="1" applyBorder="1"/>
    <xf numFmtId="165" fontId="1" fillId="0" borderId="0" xfId="0" applyNumberFormat="1" applyFont="1"/>
    <xf numFmtId="0" fontId="14" fillId="0" borderId="0" xfId="0" applyFont="1" applyBorder="1"/>
    <xf numFmtId="165" fontId="14" fillId="0" borderId="0" xfId="0" applyNumberFormat="1" applyFont="1" applyBorder="1"/>
    <xf numFmtId="165" fontId="14" fillId="0" borderId="55" xfId="0" applyNumberFormat="1" applyFont="1" applyBorder="1"/>
    <xf numFmtId="0" fontId="14" fillId="0" borderId="0" xfId="0" applyFont="1"/>
    <xf numFmtId="0" fontId="14" fillId="3" borderId="1" xfId="0" applyFont="1" applyFill="1" applyBorder="1"/>
    <xf numFmtId="0" fontId="1" fillId="0" borderId="1" xfId="0" applyFont="1" applyBorder="1" applyAlignment="1">
      <alignment horizontal="center"/>
    </xf>
    <xf numFmtId="165" fontId="14" fillId="0" borderId="1" xfId="0" applyNumberFormat="1" applyFont="1" applyFill="1" applyBorder="1"/>
    <xf numFmtId="0" fontId="14" fillId="3" borderId="1" xfId="0" applyFont="1" applyFill="1" applyBorder="1" applyAlignment="1">
      <alignment horizontal="center" wrapText="1"/>
    </xf>
    <xf numFmtId="0" fontId="1" fillId="0" borderId="0" xfId="0" applyFont="1" applyAlignment="1">
      <alignment wrapText="1"/>
    </xf>
    <xf numFmtId="9" fontId="1" fillId="0" borderId="1" xfId="0" applyNumberFormat="1" applyFont="1" applyBorder="1" applyAlignment="1">
      <alignment horizontal="center"/>
    </xf>
    <xf numFmtId="1" fontId="1" fillId="0" borderId="1" xfId="0" applyNumberFormat="1" applyFont="1" applyBorder="1" applyAlignment="1">
      <alignment horizontal="center"/>
    </xf>
    <xf numFmtId="0" fontId="14" fillId="0" borderId="0" xfId="0" applyFont="1" applyFill="1" applyBorder="1"/>
    <xf numFmtId="0" fontId="2" fillId="0" borderId="0" xfId="0" applyFont="1" applyAlignment="1">
      <alignment horizontal="center" vertical="center"/>
    </xf>
    <xf numFmtId="0" fontId="13" fillId="0" borderId="52" xfId="0" applyFont="1" applyBorder="1" applyAlignment="1">
      <alignment vertical="center" wrapText="1"/>
    </xf>
    <xf numFmtId="49" fontId="14" fillId="2" borderId="2" xfId="0" applyNumberFormat="1" applyFont="1" applyFill="1" applyBorder="1" applyAlignment="1">
      <alignment horizontal="center" vertical="center"/>
    </xf>
    <xf numFmtId="49" fontId="14" fillId="2" borderId="33" xfId="0" applyNumberFormat="1" applyFont="1" applyFill="1" applyBorder="1" applyAlignment="1">
      <alignment horizontal="center" vertical="center"/>
    </xf>
    <xf numFmtId="49" fontId="14" fillId="2" borderId="3" xfId="0" applyNumberFormat="1" applyFont="1" applyFill="1" applyBorder="1" applyAlignment="1">
      <alignment horizontal="center" vertical="center"/>
    </xf>
    <xf numFmtId="0" fontId="14" fillId="2" borderId="2" xfId="0" applyFont="1" applyFill="1" applyBorder="1" applyAlignment="1">
      <alignment horizontal="center" vertical="center"/>
    </xf>
    <xf numFmtId="0" fontId="14" fillId="2" borderId="33" xfId="0" applyFont="1" applyFill="1" applyBorder="1" applyAlignment="1">
      <alignment horizontal="center" vertical="center"/>
    </xf>
    <xf numFmtId="0" fontId="14" fillId="2" borderId="3"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15" fillId="0" borderId="14" xfId="0" applyFont="1" applyBorder="1" applyAlignment="1">
      <alignment horizontal="left" vertical="center" wrapText="1"/>
    </xf>
    <xf numFmtId="0" fontId="0" fillId="0" borderId="14" xfId="0" applyBorder="1" applyAlignment="1">
      <alignment vertical="center"/>
    </xf>
    <xf numFmtId="0" fontId="2" fillId="0" borderId="0" xfId="0" applyFont="1" applyAlignment="1">
      <alignment horizontal="center"/>
    </xf>
    <xf numFmtId="0" fontId="1" fillId="0" borderId="0" xfId="0" applyFont="1" applyAlignment="1"/>
    <xf numFmtId="0" fontId="9" fillId="0" borderId="0" xfId="0" applyFont="1" applyAlignment="1">
      <alignment horizontal="center" vertical="center"/>
    </xf>
    <xf numFmtId="0" fontId="16" fillId="0" borderId="0" xfId="0" applyFont="1" applyAlignment="1">
      <alignment horizontal="left" vertical="center" wrapText="1"/>
    </xf>
    <xf numFmtId="0" fontId="16" fillId="0" borderId="0" xfId="0" applyFont="1" applyAlignment="1">
      <alignment horizontal="left" vertical="center"/>
    </xf>
    <xf numFmtId="0" fontId="17" fillId="0" borderId="0" xfId="0" applyFont="1" applyAlignment="1">
      <alignment horizontal="left"/>
    </xf>
    <xf numFmtId="0" fontId="18" fillId="0" borderId="0" xfId="0" applyFont="1" applyAlignment="1">
      <alignment horizontal="left"/>
    </xf>
    <xf numFmtId="0" fontId="10" fillId="0" borderId="0" xfId="0" applyFont="1" applyFill="1" applyBorder="1"/>
    <xf numFmtId="0" fontId="7" fillId="2" borderId="15" xfId="0" applyFont="1" applyFill="1" applyBorder="1" applyAlignment="1"/>
    <xf numFmtId="0" fontId="0" fillId="2" borderId="16" xfId="0" applyFill="1" applyBorder="1" applyAlignment="1"/>
    <xf numFmtId="0" fontId="0" fillId="2" borderId="17" xfId="0" applyFill="1" applyBorder="1" applyAlignment="1"/>
    <xf numFmtId="0" fontId="7" fillId="2" borderId="24" xfId="0" applyFont="1" applyFill="1" applyBorder="1" applyAlignment="1"/>
    <xf numFmtId="0" fontId="0" fillId="0" borderId="27" xfId="0" applyBorder="1" applyAlignment="1"/>
    <xf numFmtId="0" fontId="0" fillId="0" borderId="28" xfId="0" applyBorder="1" applyAlignment="1"/>
    <xf numFmtId="0" fontId="19"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3A50E2-9923-4165-B51F-6F8F3ED7EA58}">
  <sheetPr>
    <pageSetUpPr fitToPage="1"/>
  </sheetPr>
  <dimension ref="A1:I21"/>
  <sheetViews>
    <sheetView showGridLines="0" tabSelected="1" topLeftCell="A10" zoomScale="74" zoomScaleNormal="74" workbookViewId="0">
      <selection activeCell="F26" sqref="F26"/>
    </sheetView>
  </sheetViews>
  <sheetFormatPr baseColWidth="10" defaultRowHeight="15" x14ac:dyDescent="0.25"/>
  <cols>
    <col min="1" max="1" width="29.28515625" customWidth="1"/>
    <col min="2" max="2" width="10.140625" customWidth="1"/>
    <col min="3" max="3" width="29.28515625" customWidth="1"/>
    <col min="4" max="4" width="10.140625" customWidth="1"/>
    <col min="5" max="5" width="2.42578125" customWidth="1"/>
    <col min="6" max="6" width="29.28515625" customWidth="1"/>
    <col min="7" max="7" width="10.140625" customWidth="1"/>
    <col min="8" max="8" width="29.28515625" customWidth="1"/>
    <col min="9" max="9" width="10.140625" customWidth="1"/>
  </cols>
  <sheetData>
    <row r="1" spans="1:9" ht="56.45" customHeight="1" x14ac:dyDescent="0.25">
      <c r="A1" s="137" t="s">
        <v>186</v>
      </c>
      <c r="B1" s="137"/>
      <c r="C1" s="137"/>
      <c r="D1" s="137"/>
      <c r="E1" s="137"/>
      <c r="F1" s="137"/>
      <c r="G1" s="137"/>
      <c r="H1" s="137"/>
      <c r="I1" s="137"/>
    </row>
    <row r="2" spans="1:9" ht="75" customHeight="1" thickBot="1" x14ac:dyDescent="0.3">
      <c r="A2" s="138" t="s">
        <v>187</v>
      </c>
      <c r="B2" s="138"/>
      <c r="C2" s="138"/>
      <c r="D2" s="138"/>
      <c r="E2" s="86"/>
      <c r="F2" s="138" t="s">
        <v>188</v>
      </c>
      <c r="G2" s="138"/>
      <c r="H2" s="138"/>
      <c r="I2" s="138"/>
    </row>
    <row r="3" spans="1:9" ht="32.450000000000003" customHeight="1" thickBot="1" x14ac:dyDescent="0.3">
      <c r="A3" s="139" t="s">
        <v>189</v>
      </c>
      <c r="B3" s="140"/>
      <c r="C3" s="140"/>
      <c r="D3" s="141"/>
      <c r="E3" s="58"/>
      <c r="F3" s="142" t="s">
        <v>190</v>
      </c>
      <c r="G3" s="143"/>
      <c r="H3" s="143"/>
      <c r="I3" s="144"/>
    </row>
    <row r="4" spans="1:9" ht="32.450000000000003" customHeight="1" thickBot="1" x14ac:dyDescent="0.3">
      <c r="A4" s="87" t="s">
        <v>9</v>
      </c>
      <c r="B4" s="87" t="s">
        <v>191</v>
      </c>
      <c r="C4" s="88" t="s">
        <v>192</v>
      </c>
      <c r="D4" s="87" t="s">
        <v>191</v>
      </c>
      <c r="E4" s="58"/>
      <c r="F4" s="87" t="s">
        <v>193</v>
      </c>
      <c r="G4" s="87" t="s">
        <v>191</v>
      </c>
      <c r="H4" s="88" t="s">
        <v>13</v>
      </c>
      <c r="I4" s="87" t="s">
        <v>191</v>
      </c>
    </row>
    <row r="5" spans="1:9" ht="32.450000000000003" customHeight="1" x14ac:dyDescent="0.25">
      <c r="A5" s="89" t="s">
        <v>88</v>
      </c>
      <c r="B5" s="90" t="s">
        <v>94</v>
      </c>
      <c r="C5" s="91" t="s">
        <v>99</v>
      </c>
      <c r="D5" s="92" t="s">
        <v>94</v>
      </c>
      <c r="F5" s="89" t="s">
        <v>194</v>
      </c>
      <c r="G5" s="93">
        <v>30000</v>
      </c>
      <c r="H5" s="89" t="s">
        <v>110</v>
      </c>
      <c r="I5" s="94"/>
    </row>
    <row r="6" spans="1:9" ht="32.450000000000003" customHeight="1" x14ac:dyDescent="0.25">
      <c r="A6" s="89" t="s">
        <v>89</v>
      </c>
      <c r="B6" s="90" t="s">
        <v>94</v>
      </c>
      <c r="C6" s="91" t="s">
        <v>100</v>
      </c>
      <c r="D6" s="92" t="s">
        <v>104</v>
      </c>
      <c r="F6" s="89" t="s">
        <v>108</v>
      </c>
      <c r="G6" s="93"/>
      <c r="H6" s="89" t="s">
        <v>111</v>
      </c>
      <c r="I6" s="94"/>
    </row>
    <row r="7" spans="1:9" ht="32.450000000000003" customHeight="1" x14ac:dyDescent="0.25">
      <c r="A7" s="89" t="s">
        <v>90</v>
      </c>
      <c r="B7" s="90" t="s">
        <v>95</v>
      </c>
      <c r="C7" s="91" t="s">
        <v>101</v>
      </c>
      <c r="D7" s="92" t="s">
        <v>105</v>
      </c>
      <c r="F7" s="89" t="s">
        <v>109</v>
      </c>
      <c r="G7" s="93"/>
      <c r="H7" s="89"/>
      <c r="I7" s="94"/>
    </row>
    <row r="8" spans="1:9" ht="32.450000000000003" customHeight="1" x14ac:dyDescent="0.25">
      <c r="A8" s="89" t="s">
        <v>91</v>
      </c>
      <c r="B8" s="90" t="s">
        <v>96</v>
      </c>
      <c r="C8" s="91" t="s">
        <v>102</v>
      </c>
      <c r="D8" s="92" t="s">
        <v>106</v>
      </c>
      <c r="F8" s="89"/>
      <c r="G8" s="93"/>
      <c r="H8" s="89"/>
      <c r="I8" s="94"/>
    </row>
    <row r="9" spans="1:9" ht="32.450000000000003" customHeight="1" x14ac:dyDescent="0.25">
      <c r="A9" s="89" t="s">
        <v>10</v>
      </c>
      <c r="B9" s="90"/>
      <c r="C9" s="91"/>
      <c r="D9" s="92"/>
      <c r="F9" s="89"/>
      <c r="G9" s="93"/>
      <c r="H9" s="89"/>
      <c r="I9" s="94"/>
    </row>
    <row r="10" spans="1:9" ht="32.450000000000003" customHeight="1" x14ac:dyDescent="0.25">
      <c r="A10" s="89" t="s">
        <v>92</v>
      </c>
      <c r="B10" s="90" t="s">
        <v>97</v>
      </c>
      <c r="C10" s="91" t="s">
        <v>103</v>
      </c>
      <c r="D10" s="92" t="s">
        <v>107</v>
      </c>
      <c r="F10" s="89"/>
      <c r="G10" s="93"/>
      <c r="H10" s="89"/>
      <c r="I10" s="94"/>
    </row>
    <row r="11" spans="1:9" ht="32.450000000000003" customHeight="1" x14ac:dyDescent="0.25">
      <c r="A11" s="89" t="s">
        <v>93</v>
      </c>
      <c r="B11" s="90" t="s">
        <v>98</v>
      </c>
      <c r="C11" s="91"/>
      <c r="D11" s="92"/>
      <c r="F11" s="89"/>
      <c r="G11" s="93"/>
      <c r="H11" s="89"/>
      <c r="I11" s="94"/>
    </row>
    <row r="12" spans="1:9" ht="32.450000000000003" customHeight="1" x14ac:dyDescent="0.25">
      <c r="A12" s="89"/>
      <c r="B12" s="90"/>
      <c r="C12" s="91"/>
      <c r="D12" s="92"/>
      <c r="F12" s="89"/>
      <c r="G12" s="93"/>
      <c r="H12" s="89"/>
      <c r="I12" s="94"/>
    </row>
    <row r="13" spans="1:9" ht="32.450000000000003" customHeight="1" x14ac:dyDescent="0.25">
      <c r="A13" s="89"/>
      <c r="B13" s="90"/>
      <c r="C13" s="91"/>
      <c r="D13" s="92"/>
      <c r="F13" s="89"/>
      <c r="G13" s="93"/>
      <c r="H13" s="89"/>
      <c r="I13" s="94"/>
    </row>
    <row r="14" spans="1:9" ht="32.450000000000003" customHeight="1" x14ac:dyDescent="0.25">
      <c r="A14" s="89"/>
      <c r="B14" s="90"/>
      <c r="C14" s="91"/>
      <c r="D14" s="92"/>
      <c r="F14" s="89"/>
      <c r="G14" s="93"/>
      <c r="H14" s="89"/>
      <c r="I14" s="94"/>
    </row>
    <row r="15" spans="1:9" ht="32.450000000000003" customHeight="1" x14ac:dyDescent="0.25">
      <c r="A15" s="89"/>
      <c r="B15" s="90"/>
      <c r="C15" s="91"/>
      <c r="D15" s="92"/>
      <c r="F15" s="89"/>
      <c r="G15" s="93"/>
      <c r="H15" s="89"/>
      <c r="I15" s="94"/>
    </row>
    <row r="16" spans="1:9" ht="32.450000000000003" customHeight="1" x14ac:dyDescent="0.25">
      <c r="A16" s="89"/>
      <c r="B16" s="90"/>
      <c r="C16" s="91"/>
      <c r="D16" s="92"/>
      <c r="F16" s="89"/>
      <c r="G16" s="93"/>
      <c r="H16" s="89"/>
      <c r="I16" s="94"/>
    </row>
    <row r="17" spans="1:9" ht="32.450000000000003" customHeight="1" x14ac:dyDescent="0.25">
      <c r="A17" s="89"/>
      <c r="B17" s="90"/>
      <c r="C17" s="89"/>
      <c r="D17" s="98"/>
      <c r="F17" s="89"/>
      <c r="G17" s="93"/>
      <c r="H17" s="89"/>
      <c r="I17" s="94"/>
    </row>
    <row r="18" spans="1:9" ht="32.450000000000003" customHeight="1" x14ac:dyDescent="0.25">
      <c r="A18" s="89"/>
      <c r="B18" s="90"/>
      <c r="C18" s="89"/>
      <c r="D18" s="98"/>
      <c r="F18" s="89"/>
      <c r="G18" s="93"/>
      <c r="H18" s="89"/>
      <c r="I18" s="94"/>
    </row>
    <row r="19" spans="1:9" ht="32.450000000000003" customHeight="1" thickBot="1" x14ac:dyDescent="0.3">
      <c r="A19" s="95"/>
      <c r="B19" s="99"/>
      <c r="C19" s="95"/>
      <c r="D19" s="100"/>
      <c r="F19" s="95"/>
      <c r="G19" s="96"/>
      <c r="H19" s="95"/>
      <c r="I19" s="97"/>
    </row>
    <row r="21" spans="1:9" ht="18.75" x14ac:dyDescent="0.3">
      <c r="A21" s="164" t="s">
        <v>210</v>
      </c>
    </row>
  </sheetData>
  <mergeCells count="5">
    <mergeCell ref="A1:I1"/>
    <mergeCell ref="A2:D2"/>
    <mergeCell ref="F2:I2"/>
    <mergeCell ref="A3:D3"/>
    <mergeCell ref="F3:I3"/>
  </mergeCells>
  <pageMargins left="0.7" right="0.7" top="0.75" bottom="0.75" header="0.3" footer="0.3"/>
  <pageSetup paperSize="9" scale="7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4282B0-ECC1-4657-84DB-05CF7EB3671C}">
  <sheetPr>
    <pageSetUpPr fitToPage="1"/>
  </sheetPr>
  <dimension ref="A1:D41"/>
  <sheetViews>
    <sheetView showGridLines="0" workbookViewId="0">
      <selection activeCell="C35" sqref="C35"/>
    </sheetView>
  </sheetViews>
  <sheetFormatPr baseColWidth="10" defaultColWidth="10.85546875" defaultRowHeight="12.75" x14ac:dyDescent="0.2"/>
  <cols>
    <col min="1" max="1" width="40.5703125" style="1" customWidth="1"/>
    <col min="2" max="2" width="10.85546875" style="1"/>
    <col min="3" max="3" width="40.5703125" style="1" customWidth="1"/>
    <col min="4" max="16384" width="10.85546875" style="1"/>
  </cols>
  <sheetData>
    <row r="1" spans="1:4" ht="45" customHeight="1" x14ac:dyDescent="0.2">
      <c r="A1" s="137" t="s">
        <v>41</v>
      </c>
      <c r="B1" s="137"/>
      <c r="C1" s="137"/>
      <c r="D1" s="137"/>
    </row>
    <row r="2" spans="1:4" ht="54.95" customHeight="1" thickBot="1" x14ac:dyDescent="0.25">
      <c r="A2" s="148" t="s">
        <v>195</v>
      </c>
      <c r="B2" s="149"/>
      <c r="C2" s="149"/>
      <c r="D2" s="149"/>
    </row>
    <row r="3" spans="1:4" s="2" customFormat="1" ht="45" customHeight="1" thickTop="1" thickBot="1" x14ac:dyDescent="0.3">
      <c r="A3" s="145" t="s">
        <v>36</v>
      </c>
      <c r="B3" s="145"/>
      <c r="C3" s="146" t="s">
        <v>35</v>
      </c>
      <c r="D3" s="147"/>
    </row>
    <row r="4" spans="1:4" ht="14.1" customHeight="1" thickTop="1" x14ac:dyDescent="0.2">
      <c r="A4" s="34" t="s">
        <v>84</v>
      </c>
      <c r="B4" s="101">
        <f>SUM(B5:B7)</f>
        <v>66500</v>
      </c>
      <c r="C4" s="35" t="s">
        <v>15</v>
      </c>
      <c r="D4" s="101">
        <f>SUM(D5:D8)</f>
        <v>173750</v>
      </c>
    </row>
    <row r="5" spans="1:4" ht="14.1" customHeight="1" x14ac:dyDescent="0.2">
      <c r="A5" s="4" t="s">
        <v>112</v>
      </c>
      <c r="B5" s="102">
        <f>D5*30/100</f>
        <v>49500</v>
      </c>
      <c r="C5" s="4" t="s">
        <v>16</v>
      </c>
      <c r="D5" s="72">
        <v>165000</v>
      </c>
    </row>
    <row r="6" spans="1:4" ht="14.1" customHeight="1" x14ac:dyDescent="0.2">
      <c r="A6" s="4" t="s">
        <v>133</v>
      </c>
      <c r="B6" s="72">
        <f>D5*5/100</f>
        <v>8250</v>
      </c>
      <c r="C6" s="4" t="s">
        <v>17</v>
      </c>
      <c r="D6" s="72"/>
    </row>
    <row r="7" spans="1:4" ht="14.1" customHeight="1" x14ac:dyDescent="0.2">
      <c r="A7" s="4" t="s">
        <v>113</v>
      </c>
      <c r="B7" s="72">
        <f>50*3.5*50</f>
        <v>8750</v>
      </c>
      <c r="C7" s="4" t="s">
        <v>140</v>
      </c>
      <c r="D7" s="72">
        <f>50*3.5*50</f>
        <v>8750</v>
      </c>
    </row>
    <row r="8" spans="1:4" ht="14.1" customHeight="1" x14ac:dyDescent="0.2">
      <c r="A8" s="4"/>
      <c r="B8" s="75"/>
      <c r="C8" s="4" t="s">
        <v>18</v>
      </c>
      <c r="D8" s="72"/>
    </row>
    <row r="9" spans="1:4" ht="14.1" customHeight="1" x14ac:dyDescent="0.2">
      <c r="A9" s="35" t="s">
        <v>0</v>
      </c>
      <c r="B9" s="67">
        <f>SUM(B10:B21)</f>
        <v>19460</v>
      </c>
      <c r="C9" s="4"/>
      <c r="D9" s="75"/>
    </row>
    <row r="10" spans="1:4" ht="14.1" customHeight="1" x14ac:dyDescent="0.2">
      <c r="A10" s="4" t="s">
        <v>132</v>
      </c>
      <c r="B10" s="102"/>
      <c r="C10" s="36" t="s">
        <v>19</v>
      </c>
      <c r="D10" s="67">
        <f>SUM(D11:D12)</f>
        <v>0</v>
      </c>
    </row>
    <row r="11" spans="1:4" ht="14.1" customHeight="1" x14ac:dyDescent="0.2">
      <c r="A11" s="4" t="s">
        <v>6</v>
      </c>
      <c r="B11" s="102">
        <f>700*12</f>
        <v>8400</v>
      </c>
      <c r="C11" s="4" t="s">
        <v>39</v>
      </c>
      <c r="D11" s="72"/>
    </row>
    <row r="12" spans="1:4" ht="14.1" customHeight="1" x14ac:dyDescent="0.2">
      <c r="A12" s="4" t="s">
        <v>1</v>
      </c>
      <c r="B12" s="102">
        <f>100*12</f>
        <v>1200</v>
      </c>
      <c r="C12" s="4" t="s">
        <v>40</v>
      </c>
      <c r="D12" s="72"/>
    </row>
    <row r="13" spans="1:4" ht="14.1" customHeight="1" x14ac:dyDescent="0.2">
      <c r="A13" s="4" t="s">
        <v>23</v>
      </c>
      <c r="B13" s="102">
        <f>25*12</f>
        <v>300</v>
      </c>
      <c r="C13" s="4"/>
      <c r="D13" s="75"/>
    </row>
    <row r="14" spans="1:4" ht="14.1" customHeight="1" x14ac:dyDescent="0.2">
      <c r="A14" s="4" t="s">
        <v>5</v>
      </c>
      <c r="B14" s="102">
        <f>120*12</f>
        <v>1440</v>
      </c>
      <c r="C14" s="4"/>
      <c r="D14" s="75"/>
    </row>
    <row r="15" spans="1:4" ht="14.1" customHeight="1" x14ac:dyDescent="0.2">
      <c r="A15" s="4" t="s">
        <v>2</v>
      </c>
      <c r="B15" s="102"/>
      <c r="C15" s="4"/>
      <c r="D15" s="75"/>
    </row>
    <row r="16" spans="1:4" ht="14.1" customHeight="1" x14ac:dyDescent="0.2">
      <c r="A16" s="4" t="s">
        <v>4</v>
      </c>
      <c r="B16" s="102"/>
      <c r="C16" s="4"/>
      <c r="D16" s="75"/>
    </row>
    <row r="17" spans="1:4" ht="14.1" customHeight="1" x14ac:dyDescent="0.2">
      <c r="A17" s="4" t="s">
        <v>146</v>
      </c>
      <c r="B17" s="102">
        <f>12*60</f>
        <v>720</v>
      </c>
      <c r="C17" s="4"/>
      <c r="D17" s="75"/>
    </row>
    <row r="18" spans="1:4" ht="14.1" customHeight="1" x14ac:dyDescent="0.2">
      <c r="A18" s="4" t="s">
        <v>22</v>
      </c>
      <c r="B18" s="102">
        <f>500*4+200*8</f>
        <v>3600</v>
      </c>
      <c r="C18" s="4"/>
      <c r="D18" s="75"/>
    </row>
    <row r="19" spans="1:4" ht="14.1" customHeight="1" x14ac:dyDescent="0.2">
      <c r="A19" s="4" t="s">
        <v>20</v>
      </c>
      <c r="B19" s="102">
        <f>300*6</f>
        <v>1800</v>
      </c>
      <c r="C19" s="4"/>
      <c r="D19" s="75"/>
    </row>
    <row r="20" spans="1:4" ht="14.1" customHeight="1" x14ac:dyDescent="0.2">
      <c r="A20" s="4" t="s">
        <v>21</v>
      </c>
      <c r="B20" s="102">
        <f>2000</f>
        <v>2000</v>
      </c>
      <c r="C20" s="4"/>
      <c r="D20" s="75"/>
    </row>
    <row r="21" spans="1:4" ht="14.1" customHeight="1" x14ac:dyDescent="0.2">
      <c r="A21" s="4" t="s">
        <v>24</v>
      </c>
      <c r="B21" s="102"/>
      <c r="C21" s="4"/>
      <c r="D21" s="75"/>
    </row>
    <row r="22" spans="1:4" ht="14.1" customHeight="1" x14ac:dyDescent="0.2">
      <c r="A22" s="4"/>
      <c r="B22" s="75"/>
      <c r="C22" s="4"/>
      <c r="D22" s="75"/>
    </row>
    <row r="23" spans="1:4" ht="14.1" customHeight="1" x14ac:dyDescent="0.2">
      <c r="A23" s="35" t="s">
        <v>12</v>
      </c>
      <c r="B23" s="67">
        <f>SUM(B24:B26)</f>
        <v>0</v>
      </c>
      <c r="C23" s="4"/>
      <c r="D23" s="75"/>
    </row>
    <row r="24" spans="1:4" ht="14.1" customHeight="1" x14ac:dyDescent="0.2">
      <c r="A24" s="6" t="s">
        <v>66</v>
      </c>
      <c r="B24" s="72"/>
      <c r="C24" s="4"/>
      <c r="D24" s="75"/>
    </row>
    <row r="25" spans="1:4" ht="14.1" customHeight="1" x14ac:dyDescent="0.2">
      <c r="A25" s="4" t="s">
        <v>67</v>
      </c>
      <c r="B25" s="72"/>
      <c r="C25" s="4"/>
      <c r="D25" s="75"/>
    </row>
    <row r="26" spans="1:4" ht="14.1" customHeight="1" x14ac:dyDescent="0.2">
      <c r="A26" s="4" t="s">
        <v>68</v>
      </c>
      <c r="B26" s="72"/>
      <c r="C26" s="4"/>
      <c r="D26" s="75"/>
    </row>
    <row r="27" spans="1:4" ht="14.1" customHeight="1" x14ac:dyDescent="0.2">
      <c r="A27" s="4"/>
      <c r="B27" s="75"/>
      <c r="C27" s="4"/>
      <c r="D27" s="75"/>
    </row>
    <row r="28" spans="1:4" ht="14.1" customHeight="1" x14ac:dyDescent="0.2">
      <c r="A28" s="35" t="s">
        <v>25</v>
      </c>
      <c r="B28" s="67">
        <f>SUM(B29:B32)</f>
        <v>87360</v>
      </c>
      <c r="C28" s="4"/>
      <c r="D28" s="75"/>
    </row>
    <row r="29" spans="1:4" ht="14.1" customHeight="1" x14ac:dyDescent="0.2">
      <c r="A29" s="4" t="s">
        <v>26</v>
      </c>
      <c r="B29" s="72"/>
      <c r="C29" s="4"/>
      <c r="D29" s="75"/>
    </row>
    <row r="30" spans="1:4" ht="14.1" customHeight="1" x14ac:dyDescent="0.2">
      <c r="A30" s="4" t="s">
        <v>27</v>
      </c>
      <c r="B30" s="72"/>
      <c r="C30" s="4"/>
      <c r="D30" s="75"/>
    </row>
    <row r="31" spans="1:4" ht="14.1" customHeight="1" x14ac:dyDescent="0.2">
      <c r="A31" s="4" t="s">
        <v>37</v>
      </c>
      <c r="B31" s="72">
        <f>4000*12</f>
        <v>48000</v>
      </c>
      <c r="C31" s="4"/>
      <c r="D31" s="75"/>
    </row>
    <row r="32" spans="1:4" ht="14.1" customHeight="1" x14ac:dyDescent="0.2">
      <c r="A32" s="4" t="s">
        <v>38</v>
      </c>
      <c r="B32" s="72">
        <f>B31*82/100</f>
        <v>39360</v>
      </c>
      <c r="C32" s="4"/>
      <c r="D32" s="75"/>
    </row>
    <row r="33" spans="1:4" ht="14.1" customHeight="1" x14ac:dyDescent="0.2">
      <c r="A33" s="4"/>
      <c r="B33" s="103"/>
      <c r="C33" s="4"/>
      <c r="D33" s="75"/>
    </row>
    <row r="34" spans="1:4" ht="14.1" customHeight="1" x14ac:dyDescent="0.2">
      <c r="A34" s="35" t="s">
        <v>29</v>
      </c>
      <c r="B34" s="67">
        <v>5000</v>
      </c>
      <c r="C34" s="4"/>
      <c r="D34" s="75"/>
    </row>
    <row r="35" spans="1:4" ht="14.1" customHeight="1" x14ac:dyDescent="0.2">
      <c r="A35" s="4"/>
      <c r="B35" s="103"/>
      <c r="C35" s="4"/>
      <c r="D35" s="75"/>
    </row>
    <row r="36" spans="1:4" ht="14.1" customHeight="1" x14ac:dyDescent="0.2">
      <c r="A36" s="35" t="s">
        <v>28</v>
      </c>
      <c r="B36" s="67">
        <v>1065</v>
      </c>
      <c r="C36" s="35" t="s">
        <v>30</v>
      </c>
      <c r="D36" s="67"/>
    </row>
    <row r="37" spans="1:4" ht="14.1" customHeight="1" thickBot="1" x14ac:dyDescent="0.25">
      <c r="A37" s="4"/>
      <c r="B37" s="103"/>
      <c r="C37" s="4"/>
      <c r="D37" s="75"/>
    </row>
    <row r="38" spans="1:4" ht="14.1" customHeight="1" thickTop="1" thickBot="1" x14ac:dyDescent="0.25">
      <c r="A38" s="34" t="s">
        <v>31</v>
      </c>
      <c r="B38" s="104">
        <f>B4+B9+B23+B28+B34+B36</f>
        <v>179385</v>
      </c>
      <c r="C38" s="39" t="s">
        <v>32</v>
      </c>
      <c r="D38" s="105">
        <f>D4+D10+D36</f>
        <v>173750</v>
      </c>
    </row>
    <row r="39" spans="1:4" ht="14.1" customHeight="1" thickBot="1" x14ac:dyDescent="0.25">
      <c r="A39" s="39" t="s">
        <v>33</v>
      </c>
      <c r="B39" s="106">
        <f>D38-B38</f>
        <v>-5635</v>
      </c>
      <c r="C39" s="5"/>
      <c r="D39" s="5"/>
    </row>
    <row r="40" spans="1:4" ht="14.1" customHeight="1" thickBot="1" x14ac:dyDescent="0.25">
      <c r="A40" s="39" t="s">
        <v>34</v>
      </c>
      <c r="B40" s="105">
        <v>0</v>
      </c>
      <c r="C40" s="5"/>
      <c r="D40" s="5"/>
    </row>
    <row r="41" spans="1:4" ht="14.1" customHeight="1" x14ac:dyDescent="0.2"/>
  </sheetData>
  <mergeCells count="4">
    <mergeCell ref="A3:B3"/>
    <mergeCell ref="C3:D3"/>
    <mergeCell ref="A1:D1"/>
    <mergeCell ref="A2:D2"/>
  </mergeCells>
  <pageMargins left="0.7" right="0.7" top="0.75" bottom="0.75" header="0.3" footer="0.3"/>
  <pageSetup paperSize="9"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E55913-8781-45A5-8A6B-6425FA2FD02B}">
  <sheetPr>
    <pageSetUpPr fitToPage="1"/>
  </sheetPr>
  <dimension ref="A1:H41"/>
  <sheetViews>
    <sheetView showGridLines="0" zoomScale="77" workbookViewId="0">
      <selection activeCell="E31" sqref="E31"/>
    </sheetView>
  </sheetViews>
  <sheetFormatPr baseColWidth="10" defaultColWidth="10.85546875" defaultRowHeight="12.75" x14ac:dyDescent="0.2"/>
  <cols>
    <col min="1" max="1" width="40.5703125" style="1" customWidth="1"/>
    <col min="2" max="4" width="10.85546875" style="1"/>
    <col min="5" max="5" width="40.5703125" style="1" customWidth="1"/>
    <col min="6" max="16384" width="10.85546875" style="1"/>
  </cols>
  <sheetData>
    <row r="1" spans="1:8" ht="45" customHeight="1" x14ac:dyDescent="0.2">
      <c r="A1" s="137" t="s">
        <v>179</v>
      </c>
      <c r="B1" s="137"/>
      <c r="C1" s="137"/>
      <c r="D1" s="137"/>
      <c r="E1" s="137"/>
      <c r="F1" s="137"/>
      <c r="G1" s="137"/>
      <c r="H1" s="137"/>
    </row>
    <row r="2" spans="1:8" s="2" customFormat="1" ht="45" customHeight="1" thickBot="1" x14ac:dyDescent="0.3">
      <c r="A2" s="148" t="s">
        <v>196</v>
      </c>
      <c r="B2" s="148"/>
      <c r="C2" s="148"/>
      <c r="D2" s="148"/>
      <c r="E2" s="148"/>
      <c r="F2" s="148"/>
      <c r="G2" s="148"/>
      <c r="H2" s="148"/>
    </row>
    <row r="3" spans="1:8" ht="45" customHeight="1" thickTop="1" thickBot="1" x14ac:dyDescent="0.25">
      <c r="A3" s="145" t="s">
        <v>36</v>
      </c>
      <c r="B3" s="145"/>
      <c r="C3" s="145"/>
      <c r="D3" s="145"/>
      <c r="E3" s="145" t="s">
        <v>35</v>
      </c>
      <c r="F3" s="145"/>
      <c r="G3" s="145"/>
      <c r="H3" s="145"/>
    </row>
    <row r="4" spans="1:8" ht="14.1" customHeight="1" thickTop="1" thickBot="1" x14ac:dyDescent="0.25">
      <c r="A4" s="63"/>
      <c r="B4" s="63" t="s">
        <v>180</v>
      </c>
      <c r="C4" s="63" t="s">
        <v>181</v>
      </c>
      <c r="D4" s="63" t="s">
        <v>182</v>
      </c>
      <c r="E4" s="63"/>
      <c r="F4" s="63" t="s">
        <v>180</v>
      </c>
      <c r="G4" s="63" t="s">
        <v>181</v>
      </c>
      <c r="H4" s="63" t="s">
        <v>182</v>
      </c>
    </row>
    <row r="5" spans="1:8" ht="14.1" customHeight="1" thickTop="1" x14ac:dyDescent="0.2">
      <c r="A5" s="64" t="s">
        <v>84</v>
      </c>
      <c r="B5" s="65">
        <f>SUM(B6:B8)</f>
        <v>39889.041666666672</v>
      </c>
      <c r="C5" s="66">
        <f>SUM(C6:C8)</f>
        <v>66500</v>
      </c>
      <c r="D5" s="67">
        <f>SUM(D6:D8)</f>
        <v>79800</v>
      </c>
      <c r="E5" s="68" t="s">
        <v>15</v>
      </c>
      <c r="F5" s="65">
        <f>SUM(F6:F8)</f>
        <v>112112.5</v>
      </c>
      <c r="G5" s="66">
        <f>SUM(G6:G8)</f>
        <v>173750</v>
      </c>
      <c r="H5" s="67">
        <f>SUM(H6:H8)</f>
        <v>208500</v>
      </c>
    </row>
    <row r="6" spans="1:8" ht="14.1" customHeight="1" x14ac:dyDescent="0.2">
      <c r="A6" s="69" t="s">
        <v>112</v>
      </c>
      <c r="B6" s="70">
        <f>F6*30/100</f>
        <v>33257.75</v>
      </c>
      <c r="C6" s="71">
        <f>G6*30/100</f>
        <v>49500</v>
      </c>
      <c r="D6" s="72">
        <f>H6*30/100</f>
        <v>59400</v>
      </c>
      <c r="E6" s="1" t="s">
        <v>16</v>
      </c>
      <c r="F6" s="70">
        <f>133031/1.2</f>
        <v>110859.16666666667</v>
      </c>
      <c r="G6" s="71">
        <v>165000</v>
      </c>
      <c r="H6" s="72">
        <f>G6*1.2</f>
        <v>198000</v>
      </c>
    </row>
    <row r="7" spans="1:8" ht="14.1" customHeight="1" x14ac:dyDescent="0.2">
      <c r="A7" s="69" t="s">
        <v>133</v>
      </c>
      <c r="B7" s="71">
        <f>F6*5/100</f>
        <v>5542.9583333333339</v>
      </c>
      <c r="C7" s="71">
        <f>G6*5/100</f>
        <v>8250</v>
      </c>
      <c r="D7" s="72">
        <f>H6*5/100</f>
        <v>9900</v>
      </c>
      <c r="E7" s="1" t="s">
        <v>17</v>
      </c>
      <c r="F7" s="70"/>
      <c r="G7" s="71"/>
      <c r="H7" s="72"/>
    </row>
    <row r="8" spans="1:8" ht="14.1" customHeight="1" x14ac:dyDescent="0.2">
      <c r="A8" s="69" t="s">
        <v>113</v>
      </c>
      <c r="B8" s="70">
        <f>1306/1.2</f>
        <v>1088.3333333333335</v>
      </c>
      <c r="C8" s="71">
        <f>50*3.5*50</f>
        <v>8750</v>
      </c>
      <c r="D8" s="72">
        <f>H8</f>
        <v>10500</v>
      </c>
      <c r="E8" s="1" t="s">
        <v>184</v>
      </c>
      <c r="F8" s="70">
        <f>1504/1.2</f>
        <v>1253.3333333333335</v>
      </c>
      <c r="G8" s="71">
        <v>8750</v>
      </c>
      <c r="H8" s="72">
        <f>G8*1.2</f>
        <v>10500</v>
      </c>
    </row>
    <row r="9" spans="1:8" ht="14.1" customHeight="1" x14ac:dyDescent="0.2">
      <c r="A9" s="69"/>
      <c r="B9" s="73"/>
      <c r="C9" s="74"/>
      <c r="D9" s="75"/>
      <c r="E9" s="1" t="s">
        <v>18</v>
      </c>
      <c r="F9" s="70"/>
      <c r="G9" s="71"/>
      <c r="H9" s="72"/>
    </row>
    <row r="10" spans="1:8" ht="14.1" customHeight="1" x14ac:dyDescent="0.2">
      <c r="A10" s="64" t="s">
        <v>0</v>
      </c>
      <c r="B10" s="65">
        <f>SUM(B11:B22)</f>
        <v>19460</v>
      </c>
      <c r="C10" s="66">
        <f>SUM(C11:C22)</f>
        <v>20433</v>
      </c>
      <c r="D10" s="67">
        <f>SUM(D11:D22)</f>
        <v>21454.65</v>
      </c>
      <c r="F10" s="73"/>
      <c r="G10" s="74"/>
      <c r="H10" s="75"/>
    </row>
    <row r="11" spans="1:8" ht="14.1" customHeight="1" x14ac:dyDescent="0.2">
      <c r="A11" s="69" t="s">
        <v>183</v>
      </c>
      <c r="B11" s="70"/>
      <c r="C11" s="71">
        <f>'Compte exploitation'!B10</f>
        <v>0</v>
      </c>
      <c r="D11" s="72"/>
      <c r="E11" s="68" t="s">
        <v>19</v>
      </c>
      <c r="F11" s="65">
        <f>SUM(F12:F23)</f>
        <v>0</v>
      </c>
      <c r="G11" s="66">
        <f>SUM(G12:G23)</f>
        <v>0</v>
      </c>
      <c r="H11" s="67">
        <f>SUM(H12:H23)</f>
        <v>0</v>
      </c>
    </row>
    <row r="12" spans="1:8" ht="14.1" customHeight="1" x14ac:dyDescent="0.2">
      <c r="A12" s="69" t="s">
        <v>6</v>
      </c>
      <c r="B12" s="70">
        <f>'Plan de trésorerie'!O26/1.2</f>
        <v>8400</v>
      </c>
      <c r="C12" s="71">
        <f>B12*1.05</f>
        <v>8820</v>
      </c>
      <c r="D12" s="72">
        <f>C12*1.05</f>
        <v>9261</v>
      </c>
      <c r="E12" s="1" t="s">
        <v>39</v>
      </c>
      <c r="F12" s="70"/>
      <c r="G12" s="71"/>
      <c r="H12" s="72"/>
    </row>
    <row r="13" spans="1:8" ht="14.1" customHeight="1" x14ac:dyDescent="0.2">
      <c r="A13" s="69" t="s">
        <v>1</v>
      </c>
      <c r="B13" s="70">
        <f>'Plan de trésorerie'!O27/1.2</f>
        <v>1200</v>
      </c>
      <c r="C13" s="71">
        <f t="shared" ref="C13:D21" si="0">B13*1.05</f>
        <v>1260</v>
      </c>
      <c r="D13" s="72">
        <f t="shared" si="0"/>
        <v>1323</v>
      </c>
      <c r="E13" s="1" t="s">
        <v>40</v>
      </c>
      <c r="F13" s="70"/>
      <c r="G13" s="71"/>
      <c r="H13" s="72"/>
    </row>
    <row r="14" spans="1:8" ht="14.1" customHeight="1" x14ac:dyDescent="0.2">
      <c r="A14" s="69" t="s">
        <v>23</v>
      </c>
      <c r="B14" s="70">
        <f>360/1.2</f>
        <v>300</v>
      </c>
      <c r="C14" s="71">
        <f t="shared" si="0"/>
        <v>315</v>
      </c>
      <c r="D14" s="72">
        <f t="shared" si="0"/>
        <v>330.75</v>
      </c>
      <c r="F14" s="70"/>
      <c r="G14" s="71"/>
      <c r="H14" s="72"/>
    </row>
    <row r="15" spans="1:8" ht="14.1" customHeight="1" x14ac:dyDescent="0.2">
      <c r="A15" s="69" t="s">
        <v>5</v>
      </c>
      <c r="B15" s="70">
        <f>'Plan de trésorerie'!O29/1.2</f>
        <v>1440</v>
      </c>
      <c r="C15" s="71">
        <f t="shared" si="0"/>
        <v>1512</v>
      </c>
      <c r="D15" s="72">
        <f t="shared" si="0"/>
        <v>1587.6000000000001</v>
      </c>
      <c r="F15" s="70"/>
      <c r="G15" s="71"/>
      <c r="H15" s="72"/>
    </row>
    <row r="16" spans="1:8" ht="14.1" customHeight="1" x14ac:dyDescent="0.2">
      <c r="A16" s="69" t="s">
        <v>2</v>
      </c>
      <c r="B16" s="70">
        <v>0</v>
      </c>
      <c r="C16" s="71">
        <f t="shared" si="0"/>
        <v>0</v>
      </c>
      <c r="D16" s="72">
        <f t="shared" si="0"/>
        <v>0</v>
      </c>
      <c r="F16" s="70"/>
      <c r="G16" s="71"/>
      <c r="H16" s="72"/>
    </row>
    <row r="17" spans="1:8" ht="14.1" customHeight="1" x14ac:dyDescent="0.2">
      <c r="A17" s="69" t="s">
        <v>4</v>
      </c>
      <c r="B17" s="70">
        <v>0</v>
      </c>
      <c r="C17" s="71">
        <f t="shared" si="0"/>
        <v>0</v>
      </c>
      <c r="D17" s="72">
        <f t="shared" si="0"/>
        <v>0</v>
      </c>
      <c r="F17" s="70"/>
      <c r="G17" s="71"/>
      <c r="H17" s="72"/>
    </row>
    <row r="18" spans="1:8" ht="14.1" customHeight="1" x14ac:dyDescent="0.2">
      <c r="A18" s="69" t="s">
        <v>3</v>
      </c>
      <c r="B18" s="70">
        <f>+'Plan de trésorerie'!O32/1.2</f>
        <v>720</v>
      </c>
      <c r="C18" s="71">
        <f t="shared" si="0"/>
        <v>756</v>
      </c>
      <c r="D18" s="72">
        <f t="shared" si="0"/>
        <v>793.80000000000007</v>
      </c>
      <c r="F18" s="70"/>
      <c r="G18" s="71"/>
      <c r="H18" s="72"/>
    </row>
    <row r="19" spans="1:8" ht="14.1" customHeight="1" x14ac:dyDescent="0.2">
      <c r="A19" s="69" t="s">
        <v>22</v>
      </c>
      <c r="B19" s="70">
        <f>'Plan de trésorerie'!O33/1.2</f>
        <v>3600</v>
      </c>
      <c r="C19" s="71">
        <f t="shared" si="0"/>
        <v>3780</v>
      </c>
      <c r="D19" s="72">
        <f t="shared" si="0"/>
        <v>3969</v>
      </c>
      <c r="F19" s="70"/>
      <c r="G19" s="71"/>
      <c r="H19" s="72"/>
    </row>
    <row r="20" spans="1:8" ht="14.1" customHeight="1" x14ac:dyDescent="0.2">
      <c r="A20" s="69" t="s">
        <v>20</v>
      </c>
      <c r="B20" s="70">
        <f>'Plan de trésorerie'!O34/1.2</f>
        <v>1800</v>
      </c>
      <c r="C20" s="71">
        <f t="shared" si="0"/>
        <v>1890</v>
      </c>
      <c r="D20" s="72">
        <f t="shared" si="0"/>
        <v>1984.5</v>
      </c>
      <c r="F20" s="70"/>
      <c r="G20" s="71"/>
      <c r="H20" s="72"/>
    </row>
    <row r="21" spans="1:8" ht="14.1" customHeight="1" x14ac:dyDescent="0.2">
      <c r="A21" s="69" t="s">
        <v>21</v>
      </c>
      <c r="B21" s="70">
        <f>'Plan de trésorerie'!O35/1.2</f>
        <v>2000</v>
      </c>
      <c r="C21" s="71">
        <f t="shared" si="0"/>
        <v>2100</v>
      </c>
      <c r="D21" s="72">
        <f t="shared" si="0"/>
        <v>2205</v>
      </c>
      <c r="F21" s="70"/>
      <c r="G21" s="71"/>
      <c r="H21" s="72"/>
    </row>
    <row r="22" spans="1:8" ht="14.1" customHeight="1" x14ac:dyDescent="0.2">
      <c r="A22" s="69" t="s">
        <v>24</v>
      </c>
      <c r="B22" s="70"/>
      <c r="C22" s="71"/>
      <c r="D22" s="72"/>
      <c r="F22" s="70"/>
      <c r="G22" s="71"/>
      <c r="H22" s="72"/>
    </row>
    <row r="23" spans="1:8" ht="14.1" customHeight="1" x14ac:dyDescent="0.2">
      <c r="A23" s="69"/>
      <c r="B23" s="73"/>
      <c r="C23" s="74"/>
      <c r="D23" s="75"/>
      <c r="F23" s="70"/>
      <c r="G23" s="71"/>
      <c r="H23" s="72"/>
    </row>
    <row r="24" spans="1:8" ht="14.1" customHeight="1" x14ac:dyDescent="0.2">
      <c r="A24" s="64" t="s">
        <v>12</v>
      </c>
      <c r="B24" s="65">
        <f>SUM(B25:B27)</f>
        <v>0</v>
      </c>
      <c r="C24" s="66">
        <f>SUM(C25:C27)</f>
        <v>1000</v>
      </c>
      <c r="D24" s="67">
        <f>SUM(D25:D27)</f>
        <v>1500</v>
      </c>
      <c r="F24" s="73"/>
      <c r="G24" s="74"/>
      <c r="H24" s="75"/>
    </row>
    <row r="25" spans="1:8" ht="14.1" customHeight="1" x14ac:dyDescent="0.2">
      <c r="A25" s="76" t="s">
        <v>66</v>
      </c>
      <c r="B25" s="70"/>
      <c r="C25" s="71">
        <v>1000</v>
      </c>
      <c r="D25" s="72">
        <v>1500</v>
      </c>
      <c r="F25" s="77"/>
      <c r="G25" s="78"/>
      <c r="H25" s="79"/>
    </row>
    <row r="26" spans="1:8" ht="14.1" customHeight="1" x14ac:dyDescent="0.2">
      <c r="A26" s="69" t="s">
        <v>67</v>
      </c>
      <c r="B26" s="70"/>
      <c r="C26" s="71"/>
      <c r="D26" s="72"/>
      <c r="F26" s="70"/>
      <c r="G26" s="71"/>
      <c r="H26" s="72"/>
    </row>
    <row r="27" spans="1:8" ht="14.1" customHeight="1" x14ac:dyDescent="0.2">
      <c r="A27" s="69" t="s">
        <v>68</v>
      </c>
      <c r="B27" s="70"/>
      <c r="C27" s="71"/>
      <c r="D27" s="72"/>
      <c r="F27" s="70"/>
      <c r="G27" s="71"/>
      <c r="H27" s="72"/>
    </row>
    <row r="28" spans="1:8" ht="14.1" customHeight="1" x14ac:dyDescent="0.2">
      <c r="A28" s="69"/>
      <c r="B28" s="73"/>
      <c r="C28" s="74"/>
      <c r="D28" s="75"/>
      <c r="F28" s="70"/>
      <c r="G28" s="71"/>
      <c r="H28" s="72"/>
    </row>
    <row r="29" spans="1:8" ht="14.1" customHeight="1" x14ac:dyDescent="0.2">
      <c r="A29" s="64" t="s">
        <v>25</v>
      </c>
      <c r="B29" s="65">
        <f>SUM(B30:B33)</f>
        <v>21840</v>
      </c>
      <c r="C29" s="66">
        <f>SUM(C30:C33)</f>
        <v>87360</v>
      </c>
      <c r="D29" s="67">
        <f>SUM(D30:D33)</f>
        <v>87360</v>
      </c>
      <c r="F29" s="73"/>
      <c r="G29" s="74"/>
      <c r="H29" s="75"/>
    </row>
    <row r="30" spans="1:8" ht="14.1" customHeight="1" x14ac:dyDescent="0.2">
      <c r="A30" s="69" t="s">
        <v>26</v>
      </c>
      <c r="B30" s="70"/>
      <c r="C30" s="71">
        <f>'Compte exploitation'!B29</f>
        <v>0</v>
      </c>
      <c r="D30" s="72"/>
      <c r="F30" s="77"/>
      <c r="G30" s="78"/>
      <c r="H30" s="79"/>
    </row>
    <row r="31" spans="1:8" ht="14.1" customHeight="1" x14ac:dyDescent="0.2">
      <c r="A31" s="69" t="s">
        <v>27</v>
      </c>
      <c r="B31" s="70"/>
      <c r="C31" s="71">
        <f>'Compte exploitation'!B30</f>
        <v>0</v>
      </c>
      <c r="D31" s="72"/>
      <c r="F31" s="70"/>
      <c r="G31" s="71"/>
      <c r="H31" s="72"/>
    </row>
    <row r="32" spans="1:8" ht="14.1" customHeight="1" x14ac:dyDescent="0.2">
      <c r="A32" s="69" t="s">
        <v>37</v>
      </c>
      <c r="B32" s="70">
        <v>12000</v>
      </c>
      <c r="C32" s="71">
        <f>'Compte exploitation'!B31</f>
        <v>48000</v>
      </c>
      <c r="D32" s="72">
        <f>C32</f>
        <v>48000</v>
      </c>
      <c r="F32" s="70"/>
      <c r="G32" s="71"/>
      <c r="H32" s="72"/>
    </row>
    <row r="33" spans="1:8" ht="14.1" customHeight="1" x14ac:dyDescent="0.2">
      <c r="A33" s="69" t="s">
        <v>38</v>
      </c>
      <c r="B33" s="71">
        <f>B32*82/100</f>
        <v>9840</v>
      </c>
      <c r="C33" s="71">
        <f t="shared" ref="C33:D33" si="1">C32*82/100</f>
        <v>39360</v>
      </c>
      <c r="D33" s="72">
        <f t="shared" si="1"/>
        <v>39360</v>
      </c>
      <c r="F33" s="70"/>
      <c r="G33" s="71"/>
      <c r="H33" s="72"/>
    </row>
    <row r="34" spans="1:8" ht="14.1" customHeight="1" x14ac:dyDescent="0.2">
      <c r="A34" s="69"/>
      <c r="B34" s="73"/>
      <c r="C34" s="74"/>
      <c r="D34" s="75"/>
      <c r="F34" s="70"/>
      <c r="G34" s="71"/>
      <c r="H34" s="72"/>
    </row>
    <row r="35" spans="1:8" ht="14.1" customHeight="1" x14ac:dyDescent="0.2">
      <c r="A35" s="64" t="s">
        <v>29</v>
      </c>
      <c r="B35" s="65">
        <f>30000/6</f>
        <v>5000</v>
      </c>
      <c r="C35" s="66">
        <f t="shared" ref="C35:D35" si="2">30000/6</f>
        <v>5000</v>
      </c>
      <c r="D35" s="67">
        <f t="shared" si="2"/>
        <v>5000</v>
      </c>
      <c r="F35" s="77"/>
      <c r="G35" s="78"/>
      <c r="H35" s="79"/>
    </row>
    <row r="36" spans="1:8" ht="14.1" customHeight="1" x14ac:dyDescent="0.2">
      <c r="A36" s="69"/>
      <c r="B36" s="73"/>
      <c r="C36" s="74"/>
      <c r="D36" s="75"/>
      <c r="F36" s="73"/>
      <c r="G36" s="74"/>
      <c r="H36" s="75"/>
    </row>
    <row r="37" spans="1:8" ht="14.1" customHeight="1" x14ac:dyDescent="0.2">
      <c r="A37" s="64" t="s">
        <v>28</v>
      </c>
      <c r="B37" s="65">
        <v>1065</v>
      </c>
      <c r="C37" s="66">
        <v>845</v>
      </c>
      <c r="D37" s="67">
        <v>620</v>
      </c>
      <c r="E37" s="68" t="s">
        <v>30</v>
      </c>
      <c r="F37" s="65"/>
      <c r="G37" s="66"/>
      <c r="H37" s="67"/>
    </row>
    <row r="38" spans="1:8" ht="14.1" customHeight="1" thickBot="1" x14ac:dyDescent="0.25">
      <c r="A38" s="69"/>
      <c r="B38" s="73"/>
      <c r="C38" s="74"/>
      <c r="D38" s="75"/>
      <c r="F38" s="73"/>
      <c r="G38" s="74"/>
      <c r="H38" s="75"/>
    </row>
    <row r="39" spans="1:8" ht="14.1" customHeight="1" thickTop="1" thickBot="1" x14ac:dyDescent="0.25">
      <c r="A39" s="34" t="s">
        <v>31</v>
      </c>
      <c r="B39" s="107">
        <f>B5+B10+B24+B29+B35+B37</f>
        <v>87254.041666666672</v>
      </c>
      <c r="C39" s="108">
        <f>C5+C10+C24+C29+C35+C37</f>
        <v>181138</v>
      </c>
      <c r="D39" s="109">
        <f>D5+D10+D24+D29+D35+D37</f>
        <v>195734.65</v>
      </c>
      <c r="E39" s="37" t="s">
        <v>32</v>
      </c>
      <c r="F39" s="80">
        <f>F5+F11+F37</f>
        <v>112112.5</v>
      </c>
      <c r="G39" s="81">
        <f>G5+G11+G37</f>
        <v>173750</v>
      </c>
      <c r="H39" s="82">
        <f>H5+H11+H37</f>
        <v>208500</v>
      </c>
    </row>
    <row r="40" spans="1:8" ht="13.5" thickBot="1" x14ac:dyDescent="0.25">
      <c r="A40" s="83" t="s">
        <v>33</v>
      </c>
      <c r="B40" s="110">
        <f>F39-B39</f>
        <v>24858.458333333328</v>
      </c>
      <c r="C40" s="111">
        <f>G39-C39</f>
        <v>-7388</v>
      </c>
      <c r="D40" s="112">
        <f t="shared" ref="D40" si="3">H39-D39</f>
        <v>12765.350000000006</v>
      </c>
    </row>
    <row r="41" spans="1:8" ht="13.5" thickTop="1" x14ac:dyDescent="0.2"/>
  </sheetData>
  <mergeCells count="4">
    <mergeCell ref="A1:H1"/>
    <mergeCell ref="A2:H2"/>
    <mergeCell ref="A3:D3"/>
    <mergeCell ref="E3:H3"/>
  </mergeCells>
  <pageMargins left="0.7" right="0.7" top="0.75" bottom="0.75" header="0.3" footer="0.3"/>
  <pageSetup paperSize="9" scale="7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92442-EC3F-4799-8F79-B533B6728FCB}">
  <sheetPr>
    <pageSetUpPr fitToPage="1"/>
  </sheetPr>
  <dimension ref="A1:F31"/>
  <sheetViews>
    <sheetView showGridLines="0" workbookViewId="0">
      <selection activeCell="E2" sqref="E2"/>
    </sheetView>
  </sheetViews>
  <sheetFormatPr baseColWidth="10" defaultRowHeight="15" x14ac:dyDescent="0.25"/>
  <cols>
    <col min="1" max="1" width="37" style="1" customWidth="1"/>
    <col min="2" max="2" width="10.85546875" style="1"/>
    <col min="3" max="3" width="37" style="1" customWidth="1"/>
    <col min="4" max="4" width="10.85546875" style="1"/>
  </cols>
  <sheetData>
    <row r="1" spans="1:6" ht="39.6" customHeight="1" x14ac:dyDescent="0.25">
      <c r="A1" s="137" t="s">
        <v>42</v>
      </c>
      <c r="B1" s="137"/>
      <c r="C1" s="137"/>
      <c r="D1" s="137"/>
    </row>
    <row r="2" spans="1:6" ht="45" customHeight="1" thickBot="1" x14ac:dyDescent="0.3">
      <c r="A2" s="148" t="s">
        <v>197</v>
      </c>
      <c r="B2" s="149"/>
      <c r="C2" s="149"/>
      <c r="D2" s="149"/>
    </row>
    <row r="3" spans="1:6" ht="45" customHeight="1" thickTop="1" thickBot="1" x14ac:dyDescent="0.3">
      <c r="A3" s="146" t="s">
        <v>142</v>
      </c>
      <c r="B3" s="147"/>
      <c r="C3" s="146" t="s">
        <v>143</v>
      </c>
      <c r="D3" s="147"/>
    </row>
    <row r="4" spans="1:6" ht="15.75" thickTop="1" x14ac:dyDescent="0.25">
      <c r="A4" s="34" t="s">
        <v>43</v>
      </c>
      <c r="B4" s="101">
        <f>SUM(B5:B13)</f>
        <v>6500</v>
      </c>
      <c r="C4" s="35" t="s">
        <v>56</v>
      </c>
      <c r="D4" s="101">
        <f>SUM(D5:D8)</f>
        <v>30000</v>
      </c>
    </row>
    <row r="5" spans="1:6" x14ac:dyDescent="0.25">
      <c r="A5" s="4" t="s">
        <v>44</v>
      </c>
      <c r="B5" s="72">
        <v>300</v>
      </c>
      <c r="C5" s="4" t="s">
        <v>57</v>
      </c>
      <c r="D5" s="72">
        <v>8000</v>
      </c>
    </row>
    <row r="6" spans="1:6" x14ac:dyDescent="0.25">
      <c r="A6" s="4" t="s">
        <v>45</v>
      </c>
      <c r="B6" s="72">
        <v>1200</v>
      </c>
      <c r="C6" s="4" t="s">
        <v>58</v>
      </c>
      <c r="D6" s="72">
        <v>22000</v>
      </c>
    </row>
    <row r="7" spans="1:6" x14ac:dyDescent="0.25">
      <c r="A7" s="4" t="s">
        <v>46</v>
      </c>
      <c r="B7" s="72"/>
      <c r="C7" s="4" t="s">
        <v>59</v>
      </c>
      <c r="D7" s="72"/>
    </row>
    <row r="8" spans="1:6" x14ac:dyDescent="0.25">
      <c r="A8" s="4" t="s">
        <v>47</v>
      </c>
      <c r="B8" s="72">
        <v>2000</v>
      </c>
      <c r="C8" s="4"/>
      <c r="D8" s="72"/>
    </row>
    <row r="9" spans="1:6" ht="12.6" customHeight="1" x14ac:dyDescent="0.25">
      <c r="A9" s="4" t="s">
        <v>11</v>
      </c>
      <c r="B9" s="72">
        <v>3000</v>
      </c>
      <c r="C9" s="36" t="s">
        <v>60</v>
      </c>
      <c r="D9" s="67">
        <f>SUM(D10:D12)</f>
        <v>29000</v>
      </c>
    </row>
    <row r="10" spans="1:6" ht="12.6" customHeight="1" x14ac:dyDescent="0.25">
      <c r="A10" s="4" t="s">
        <v>48</v>
      </c>
      <c r="B10" s="72"/>
      <c r="C10" s="5" t="s">
        <v>14</v>
      </c>
      <c r="D10" s="72">
        <v>29000</v>
      </c>
      <c r="F10" s="84"/>
    </row>
    <row r="11" spans="1:6" x14ac:dyDescent="0.25">
      <c r="A11" s="4" t="s">
        <v>49</v>
      </c>
      <c r="B11" s="72"/>
      <c r="C11" s="4" t="s">
        <v>61</v>
      </c>
      <c r="D11" s="72"/>
    </row>
    <row r="12" spans="1:6" x14ac:dyDescent="0.25">
      <c r="A12" s="4" t="s">
        <v>63</v>
      </c>
      <c r="B12" s="72"/>
      <c r="C12" s="4" t="s">
        <v>62</v>
      </c>
      <c r="D12" s="72"/>
    </row>
    <row r="13" spans="1:6" x14ac:dyDescent="0.25">
      <c r="A13" s="4" t="s">
        <v>50</v>
      </c>
      <c r="B13" s="72"/>
      <c r="C13" s="4"/>
      <c r="D13" s="75"/>
    </row>
    <row r="14" spans="1:6" x14ac:dyDescent="0.25">
      <c r="A14" s="4"/>
      <c r="B14" s="72"/>
      <c r="C14" s="4"/>
      <c r="D14" s="75"/>
    </row>
    <row r="15" spans="1:6" x14ac:dyDescent="0.25">
      <c r="A15" s="35" t="s">
        <v>51</v>
      </c>
      <c r="B15" s="67">
        <f>SUM(B16:B20)</f>
        <v>29000</v>
      </c>
      <c r="C15" s="4"/>
      <c r="D15" s="75"/>
    </row>
    <row r="16" spans="1:6" x14ac:dyDescent="0.25">
      <c r="A16" s="4" t="s">
        <v>89</v>
      </c>
      <c r="B16" s="72">
        <v>12000</v>
      </c>
      <c r="C16" s="4"/>
      <c r="D16" s="75"/>
    </row>
    <row r="17" spans="1:6" x14ac:dyDescent="0.25">
      <c r="A17" s="4" t="s">
        <v>76</v>
      </c>
      <c r="B17" s="72"/>
      <c r="C17" s="4"/>
      <c r="D17" s="75"/>
    </row>
    <row r="18" spans="1:6" x14ac:dyDescent="0.25">
      <c r="A18" s="4" t="s">
        <v>77</v>
      </c>
      <c r="B18" s="72"/>
      <c r="C18" s="4"/>
      <c r="D18" s="75"/>
    </row>
    <row r="19" spans="1:6" x14ac:dyDescent="0.25">
      <c r="A19" s="4" t="s">
        <v>10</v>
      </c>
      <c r="B19" s="72"/>
      <c r="C19" s="4"/>
      <c r="D19" s="75"/>
    </row>
    <row r="20" spans="1:6" x14ac:dyDescent="0.25">
      <c r="A20" s="4" t="s">
        <v>114</v>
      </c>
      <c r="B20" s="72">
        <v>17000</v>
      </c>
      <c r="C20" s="4"/>
      <c r="D20" s="75"/>
    </row>
    <row r="21" spans="1:6" x14ac:dyDescent="0.25">
      <c r="A21" s="4"/>
      <c r="B21" s="72"/>
      <c r="C21" s="4"/>
      <c r="D21" s="75"/>
    </row>
    <row r="22" spans="1:6" x14ac:dyDescent="0.25">
      <c r="A22" s="35" t="s">
        <v>52</v>
      </c>
      <c r="B22" s="67">
        <f>SUM(B23:B24)</f>
        <v>2100</v>
      </c>
      <c r="C22" s="4"/>
      <c r="D22" s="75"/>
    </row>
    <row r="23" spans="1:6" x14ac:dyDescent="0.25">
      <c r="A23" s="4" t="s">
        <v>53</v>
      </c>
      <c r="B23" s="72">
        <f>2100</f>
        <v>2100</v>
      </c>
      <c r="C23" s="4"/>
      <c r="D23" s="75"/>
    </row>
    <row r="24" spans="1:6" x14ac:dyDescent="0.25">
      <c r="A24" s="4" t="s">
        <v>80</v>
      </c>
      <c r="B24" s="72"/>
      <c r="C24" s="4"/>
      <c r="D24" s="75"/>
    </row>
    <row r="25" spans="1:6" x14ac:dyDescent="0.25">
      <c r="A25" s="4"/>
      <c r="B25" s="72"/>
      <c r="C25" s="4"/>
      <c r="D25" s="75"/>
    </row>
    <row r="26" spans="1:6" x14ac:dyDescent="0.25">
      <c r="A26" s="35" t="s">
        <v>54</v>
      </c>
      <c r="B26" s="67"/>
      <c r="C26" s="4"/>
      <c r="D26" s="75"/>
    </row>
    <row r="27" spans="1:6" x14ac:dyDescent="0.25">
      <c r="A27" s="3"/>
      <c r="B27" s="113"/>
      <c r="C27" s="4"/>
      <c r="D27" s="75"/>
    </row>
    <row r="28" spans="1:6" x14ac:dyDescent="0.25">
      <c r="A28" s="35" t="s">
        <v>55</v>
      </c>
      <c r="B28" s="67">
        <v>21200</v>
      </c>
      <c r="C28" s="4"/>
      <c r="D28" s="75"/>
    </row>
    <row r="29" spans="1:6" ht="15.75" thickBot="1" x14ac:dyDescent="0.3">
      <c r="A29" s="3"/>
      <c r="B29" s="79"/>
      <c r="C29" s="4"/>
      <c r="D29" s="75"/>
    </row>
    <row r="30" spans="1:6" ht="16.5" thickTop="1" thickBot="1" x14ac:dyDescent="0.3">
      <c r="A30" s="37" t="s">
        <v>64</v>
      </c>
      <c r="B30" s="82">
        <f>B4+B15+B22+B26+B28</f>
        <v>58800</v>
      </c>
      <c r="C30" s="38" t="s">
        <v>65</v>
      </c>
      <c r="D30" s="82">
        <f>D4+D9</f>
        <v>59000</v>
      </c>
      <c r="F30" s="85"/>
    </row>
    <row r="31" spans="1:6" ht="15.75" thickTop="1" x14ac:dyDescent="0.25"/>
  </sheetData>
  <mergeCells count="4">
    <mergeCell ref="A2:D2"/>
    <mergeCell ref="A3:B3"/>
    <mergeCell ref="C3:D3"/>
    <mergeCell ref="A1:D1"/>
  </mergeCells>
  <pageMargins left="0.7" right="0.7" top="0.75" bottom="0.75" header="0.3" footer="0.3"/>
  <pageSetup paperSize="9" scale="9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4D413A-F74B-42B4-B08D-E7D61F087761}">
  <sheetPr>
    <pageSetUpPr fitToPage="1"/>
  </sheetPr>
  <dimension ref="A1:I36"/>
  <sheetViews>
    <sheetView showGridLines="0" zoomScale="83" workbookViewId="0">
      <selection activeCell="E35" sqref="E35"/>
    </sheetView>
  </sheetViews>
  <sheetFormatPr baseColWidth="10" defaultColWidth="10.85546875" defaultRowHeight="14.25" x14ac:dyDescent="0.2"/>
  <cols>
    <col min="1" max="1" width="21.5703125" style="116" customWidth="1"/>
    <col min="2" max="7" width="15.85546875" style="116" customWidth="1"/>
    <col min="8" max="8" width="10.85546875" style="116"/>
    <col min="9" max="9" width="11.140625" style="116" bestFit="1" customWidth="1"/>
    <col min="10" max="16384" width="10.85546875" style="116"/>
  </cols>
  <sheetData>
    <row r="1" spans="1:9" ht="25.5" x14ac:dyDescent="0.35">
      <c r="A1" s="150" t="s">
        <v>205</v>
      </c>
      <c r="B1" s="150"/>
      <c r="C1" s="150"/>
      <c r="D1" s="150"/>
      <c r="E1" s="150"/>
      <c r="F1" s="151"/>
      <c r="G1" s="151"/>
    </row>
    <row r="3" spans="1:9" s="133" customFormat="1" ht="30" x14ac:dyDescent="0.25">
      <c r="A3" s="132" t="s">
        <v>141</v>
      </c>
      <c r="B3" s="132" t="s">
        <v>139</v>
      </c>
      <c r="C3" s="132" t="s">
        <v>138</v>
      </c>
      <c r="D3" s="132" t="s">
        <v>131</v>
      </c>
      <c r="E3" s="132" t="s">
        <v>138</v>
      </c>
      <c r="F3" s="132" t="s">
        <v>134</v>
      </c>
      <c r="G3" s="132" t="s">
        <v>135</v>
      </c>
    </row>
    <row r="4" spans="1:9" x14ac:dyDescent="0.2">
      <c r="A4" s="118" t="s">
        <v>115</v>
      </c>
      <c r="B4" s="118">
        <v>2</v>
      </c>
      <c r="C4" s="119">
        <f>B4*30</f>
        <v>60</v>
      </c>
      <c r="D4" s="118">
        <v>5</v>
      </c>
      <c r="E4" s="119">
        <f>D4*150</f>
        <v>750</v>
      </c>
      <c r="F4" s="118">
        <f>B4+D4</f>
        <v>7</v>
      </c>
      <c r="G4" s="119">
        <f>C4+E4</f>
        <v>810</v>
      </c>
    </row>
    <row r="5" spans="1:9" x14ac:dyDescent="0.2">
      <c r="A5" s="118" t="s">
        <v>116</v>
      </c>
      <c r="B5" s="118">
        <v>2</v>
      </c>
      <c r="C5" s="119">
        <f t="shared" ref="C5:C6" si="0">B5*30</f>
        <v>60</v>
      </c>
      <c r="D5" s="118">
        <v>3</v>
      </c>
      <c r="E5" s="119">
        <f t="shared" ref="E5:E10" si="1">D5*150</f>
        <v>450</v>
      </c>
      <c r="F5" s="118">
        <f t="shared" ref="F5:F10" si="2">B5+D5</f>
        <v>5</v>
      </c>
      <c r="G5" s="119">
        <f t="shared" ref="G5:G10" si="3">C5+E5</f>
        <v>510</v>
      </c>
    </row>
    <row r="6" spans="1:9" x14ac:dyDescent="0.2">
      <c r="A6" s="120" t="s">
        <v>137</v>
      </c>
      <c r="B6" s="121">
        <v>0</v>
      </c>
      <c r="C6" s="119">
        <f t="shared" si="0"/>
        <v>0</v>
      </c>
      <c r="D6" s="121">
        <v>0</v>
      </c>
      <c r="E6" s="119">
        <f t="shared" si="1"/>
        <v>0</v>
      </c>
      <c r="F6" s="120">
        <v>0</v>
      </c>
      <c r="G6" s="119">
        <f t="shared" si="3"/>
        <v>0</v>
      </c>
    </row>
    <row r="7" spans="1:9" x14ac:dyDescent="0.2">
      <c r="A7" s="118" t="s">
        <v>117</v>
      </c>
      <c r="B7" s="118">
        <v>2</v>
      </c>
      <c r="C7" s="119">
        <f>B7*30</f>
        <v>60</v>
      </c>
      <c r="D7" s="118">
        <v>3</v>
      </c>
      <c r="E7" s="119">
        <f t="shared" si="1"/>
        <v>450</v>
      </c>
      <c r="F7" s="118">
        <f t="shared" si="2"/>
        <v>5</v>
      </c>
      <c r="G7" s="119">
        <f t="shared" si="3"/>
        <v>510</v>
      </c>
    </row>
    <row r="8" spans="1:9" x14ac:dyDescent="0.2">
      <c r="A8" s="118" t="s">
        <v>118</v>
      </c>
      <c r="B8" s="118">
        <v>2</v>
      </c>
      <c r="C8" s="119">
        <f>B8*30</f>
        <v>60</v>
      </c>
      <c r="D8" s="118">
        <v>5</v>
      </c>
      <c r="E8" s="119">
        <f t="shared" si="1"/>
        <v>750</v>
      </c>
      <c r="F8" s="118">
        <f t="shared" si="2"/>
        <v>7</v>
      </c>
      <c r="G8" s="119">
        <f t="shared" si="3"/>
        <v>810</v>
      </c>
    </row>
    <row r="9" spans="1:9" x14ac:dyDescent="0.2">
      <c r="A9" s="118" t="s">
        <v>119</v>
      </c>
      <c r="B9" s="118">
        <v>8</v>
      </c>
      <c r="C9" s="119">
        <f>B9*45</f>
        <v>360</v>
      </c>
      <c r="D9" s="118"/>
      <c r="E9" s="119">
        <f t="shared" si="1"/>
        <v>0</v>
      </c>
      <c r="F9" s="118">
        <f t="shared" si="2"/>
        <v>8</v>
      </c>
      <c r="G9" s="119">
        <f t="shared" si="3"/>
        <v>360</v>
      </c>
    </row>
    <row r="10" spans="1:9" x14ac:dyDescent="0.2">
      <c r="A10" s="118" t="s">
        <v>120</v>
      </c>
      <c r="B10" s="118">
        <v>15</v>
      </c>
      <c r="C10" s="119">
        <f>B10*45</f>
        <v>675</v>
      </c>
      <c r="D10" s="118"/>
      <c r="E10" s="119">
        <f t="shared" si="1"/>
        <v>0</v>
      </c>
      <c r="F10" s="118">
        <f t="shared" si="2"/>
        <v>15</v>
      </c>
      <c r="G10" s="119">
        <f t="shared" si="3"/>
        <v>675</v>
      </c>
    </row>
    <row r="11" spans="1:9" ht="15" x14ac:dyDescent="0.25">
      <c r="A11" s="122" t="s">
        <v>136</v>
      </c>
      <c r="B11" s="122">
        <f>SUM(B4:B10)</f>
        <v>31</v>
      </c>
      <c r="C11" s="123">
        <f t="shared" ref="C11:G11" si="4">SUM(C4:C10)</f>
        <v>1275</v>
      </c>
      <c r="D11" s="122">
        <f t="shared" si="4"/>
        <v>16</v>
      </c>
      <c r="E11" s="123">
        <f t="shared" si="4"/>
        <v>2400</v>
      </c>
      <c r="F11" s="122">
        <f t="shared" si="4"/>
        <v>47</v>
      </c>
      <c r="G11" s="123">
        <f t="shared" si="4"/>
        <v>3675</v>
      </c>
      <c r="I11" s="124"/>
    </row>
    <row r="12" spans="1:9" ht="15" x14ac:dyDescent="0.25">
      <c r="A12" s="125"/>
      <c r="B12" s="125"/>
      <c r="C12" s="126"/>
      <c r="D12" s="125"/>
      <c r="E12" s="126"/>
      <c r="F12" s="129" t="s">
        <v>173</v>
      </c>
      <c r="G12" s="127">
        <f>G11*4.33</f>
        <v>15912.75</v>
      </c>
      <c r="I12" s="124"/>
    </row>
    <row r="13" spans="1:9" ht="15" x14ac:dyDescent="0.25">
      <c r="A13" s="125"/>
      <c r="B13" s="126"/>
      <c r="C13" s="126"/>
      <c r="D13" s="125"/>
      <c r="E13" s="126"/>
      <c r="F13" s="125"/>
      <c r="G13" s="126"/>
      <c r="I13" s="124"/>
    </row>
    <row r="15" spans="1:9" s="133" customFormat="1" ht="30" x14ac:dyDescent="0.25">
      <c r="A15" s="132" t="s">
        <v>130</v>
      </c>
      <c r="B15" s="132" t="s">
        <v>127</v>
      </c>
      <c r="C15" s="132" t="s">
        <v>128</v>
      </c>
      <c r="D15" s="132" t="s">
        <v>129</v>
      </c>
      <c r="E15" s="132" t="s">
        <v>126</v>
      </c>
    </row>
    <row r="16" spans="1:9" x14ac:dyDescent="0.2">
      <c r="A16" s="118" t="s">
        <v>121</v>
      </c>
      <c r="B16" s="119">
        <v>14</v>
      </c>
      <c r="C16" s="119">
        <f>B16/1.1</f>
        <v>12.727272727272727</v>
      </c>
      <c r="D16" s="119">
        <f>C16*0.3</f>
        <v>3.8181818181818179</v>
      </c>
      <c r="E16" s="119">
        <f>C16-D16</f>
        <v>8.9090909090909083</v>
      </c>
    </row>
    <row r="17" spans="1:5" x14ac:dyDescent="0.2">
      <c r="A17" s="118" t="s">
        <v>122</v>
      </c>
      <c r="B17" s="119">
        <v>16</v>
      </c>
      <c r="C17" s="119">
        <f t="shared" ref="C17:C20" si="5">B17/1.1</f>
        <v>14.545454545454545</v>
      </c>
      <c r="D17" s="119">
        <f t="shared" ref="D17:D20" si="6">C17*0.3</f>
        <v>4.3636363636363633</v>
      </c>
      <c r="E17" s="119">
        <f t="shared" ref="E17:E20" si="7">C17-D17</f>
        <v>10.181818181818182</v>
      </c>
    </row>
    <row r="18" spans="1:5" x14ac:dyDescent="0.2">
      <c r="A18" s="118" t="s">
        <v>123</v>
      </c>
      <c r="B18" s="119">
        <v>14</v>
      </c>
      <c r="C18" s="119">
        <f t="shared" si="5"/>
        <v>12.727272727272727</v>
      </c>
      <c r="D18" s="119">
        <f t="shared" si="6"/>
        <v>3.8181818181818179</v>
      </c>
      <c r="E18" s="119">
        <f t="shared" si="7"/>
        <v>8.9090909090909083</v>
      </c>
    </row>
    <row r="19" spans="1:5" x14ac:dyDescent="0.2">
      <c r="A19" s="118" t="s">
        <v>124</v>
      </c>
      <c r="B19" s="119">
        <v>15</v>
      </c>
      <c r="C19" s="119">
        <f t="shared" si="5"/>
        <v>13.636363636363635</v>
      </c>
      <c r="D19" s="119">
        <f t="shared" si="6"/>
        <v>4.0909090909090899</v>
      </c>
      <c r="E19" s="119">
        <f t="shared" si="7"/>
        <v>9.545454545454545</v>
      </c>
    </row>
    <row r="20" spans="1:5" x14ac:dyDescent="0.2">
      <c r="A20" s="118" t="s">
        <v>125</v>
      </c>
      <c r="B20" s="119">
        <v>7</v>
      </c>
      <c r="C20" s="119">
        <f t="shared" si="5"/>
        <v>6.3636363636363633</v>
      </c>
      <c r="D20" s="119">
        <f t="shared" si="6"/>
        <v>1.9090909090909089</v>
      </c>
      <c r="E20" s="119">
        <f t="shared" si="7"/>
        <v>4.4545454545454541</v>
      </c>
    </row>
    <row r="22" spans="1:5" ht="15" x14ac:dyDescent="0.25">
      <c r="A22" s="128" t="s">
        <v>147</v>
      </c>
    </row>
    <row r="23" spans="1:5" s="133" customFormat="1" ht="30" x14ac:dyDescent="0.25">
      <c r="A23" s="132" t="s">
        <v>172</v>
      </c>
      <c r="B23" s="132" t="s">
        <v>177</v>
      </c>
      <c r="C23" s="132" t="s">
        <v>176</v>
      </c>
      <c r="D23" s="132" t="s">
        <v>174</v>
      </c>
    </row>
    <row r="24" spans="1:5" x14ac:dyDescent="0.2">
      <c r="A24" s="118" t="s">
        <v>160</v>
      </c>
      <c r="B24" s="130" t="s">
        <v>206</v>
      </c>
      <c r="C24" s="130">
        <v>0</v>
      </c>
      <c r="D24" s="118">
        <v>0</v>
      </c>
    </row>
    <row r="25" spans="1:5" x14ac:dyDescent="0.2">
      <c r="A25" s="118" t="s">
        <v>161</v>
      </c>
      <c r="B25" s="130" t="s">
        <v>206</v>
      </c>
      <c r="C25" s="130">
        <v>0</v>
      </c>
      <c r="D25" s="118">
        <v>0</v>
      </c>
    </row>
    <row r="26" spans="1:5" x14ac:dyDescent="0.2">
      <c r="A26" s="118" t="s">
        <v>162</v>
      </c>
      <c r="B26" s="134">
        <v>0.25</v>
      </c>
      <c r="C26" s="135">
        <v>12</v>
      </c>
      <c r="D26" s="119">
        <f t="shared" ref="D26:D35" si="8">15912.75*1.1*B26</f>
        <v>4376.0062500000004</v>
      </c>
    </row>
    <row r="27" spans="1:5" x14ac:dyDescent="0.2">
      <c r="A27" s="118" t="s">
        <v>163</v>
      </c>
      <c r="B27" s="134">
        <v>0.25</v>
      </c>
      <c r="C27" s="135">
        <v>12</v>
      </c>
      <c r="D27" s="119">
        <f t="shared" si="8"/>
        <v>4376.0062500000004</v>
      </c>
    </row>
    <row r="28" spans="1:5" x14ac:dyDescent="0.2">
      <c r="A28" s="118" t="s">
        <v>164</v>
      </c>
      <c r="B28" s="134">
        <v>0.5</v>
      </c>
      <c r="C28" s="135">
        <v>24</v>
      </c>
      <c r="D28" s="119">
        <f t="shared" si="8"/>
        <v>8752.0125000000007</v>
      </c>
    </row>
    <row r="29" spans="1:5" x14ac:dyDescent="0.2">
      <c r="A29" s="118" t="s">
        <v>165</v>
      </c>
      <c r="B29" s="134">
        <v>0.6</v>
      </c>
      <c r="C29" s="135">
        <v>28</v>
      </c>
      <c r="D29" s="119">
        <f t="shared" si="8"/>
        <v>10502.415000000001</v>
      </c>
    </row>
    <row r="30" spans="1:5" x14ac:dyDescent="0.2">
      <c r="A30" s="118" t="s">
        <v>166</v>
      </c>
      <c r="B30" s="134">
        <v>0.8</v>
      </c>
      <c r="C30" s="135">
        <v>38</v>
      </c>
      <c r="D30" s="119">
        <f t="shared" si="8"/>
        <v>14003.220000000001</v>
      </c>
    </row>
    <row r="31" spans="1:5" x14ac:dyDescent="0.2">
      <c r="A31" s="118" t="s">
        <v>167</v>
      </c>
      <c r="B31" s="134">
        <v>1.1000000000000001</v>
      </c>
      <c r="C31" s="135">
        <v>52</v>
      </c>
      <c r="D31" s="119">
        <f t="shared" si="8"/>
        <v>19254.427500000002</v>
      </c>
      <c r="E31" s="116" t="s">
        <v>208</v>
      </c>
    </row>
    <row r="32" spans="1:5" x14ac:dyDescent="0.2">
      <c r="A32" s="118" t="s">
        <v>168</v>
      </c>
      <c r="B32" s="134">
        <v>1</v>
      </c>
      <c r="C32" s="135">
        <v>47</v>
      </c>
      <c r="D32" s="119">
        <f t="shared" si="8"/>
        <v>17504.025000000001</v>
      </c>
    </row>
    <row r="33" spans="1:5" x14ac:dyDescent="0.2">
      <c r="A33" s="118" t="s">
        <v>169</v>
      </c>
      <c r="B33" s="134">
        <v>1</v>
      </c>
      <c r="C33" s="135">
        <v>47</v>
      </c>
      <c r="D33" s="119">
        <f t="shared" si="8"/>
        <v>17504.025000000001</v>
      </c>
    </row>
    <row r="34" spans="1:5" x14ac:dyDescent="0.2">
      <c r="A34" s="118" t="s">
        <v>170</v>
      </c>
      <c r="B34" s="134">
        <v>1.1000000000000001</v>
      </c>
      <c r="C34" s="135">
        <v>52</v>
      </c>
      <c r="D34" s="119">
        <f t="shared" si="8"/>
        <v>19254.427500000002</v>
      </c>
      <c r="E34" s="116" t="s">
        <v>209</v>
      </c>
    </row>
    <row r="35" spans="1:5" x14ac:dyDescent="0.2">
      <c r="A35" s="118" t="s">
        <v>171</v>
      </c>
      <c r="B35" s="134">
        <v>1</v>
      </c>
      <c r="C35" s="135">
        <v>47</v>
      </c>
      <c r="D35" s="119">
        <f t="shared" si="8"/>
        <v>17504.025000000001</v>
      </c>
    </row>
    <row r="36" spans="1:5" ht="15" x14ac:dyDescent="0.25">
      <c r="A36" s="136"/>
      <c r="B36" s="136"/>
      <c r="C36" s="117" t="s">
        <v>207</v>
      </c>
      <c r="D36" s="131">
        <f>SUM(D24:D35)</f>
        <v>133030.59000000003</v>
      </c>
    </row>
  </sheetData>
  <mergeCells count="1">
    <mergeCell ref="A1:G1"/>
  </mergeCells>
  <phoneticPr fontId="6" type="noConversion"/>
  <pageMargins left="0.7" right="0.7" top="0.75" bottom="0.75" header="0.3" footer="0.3"/>
  <pageSetup paperSize="9" scale="8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2D04EB-04C8-405A-8A7A-3872AAC13E65}">
  <sheetPr>
    <pageSetUpPr fitToPage="1"/>
  </sheetPr>
  <dimension ref="A1:Q67"/>
  <sheetViews>
    <sheetView showGridLines="0" zoomScale="90" zoomScaleNormal="90" workbookViewId="0">
      <selection activeCell="F21" sqref="F21"/>
    </sheetView>
  </sheetViews>
  <sheetFormatPr baseColWidth="10" defaultColWidth="10.85546875" defaultRowHeight="12.75" x14ac:dyDescent="0.2"/>
  <cols>
    <col min="1" max="1" width="40.85546875" style="7" customWidth="1"/>
    <col min="2" max="13" width="11.85546875" style="7" customWidth="1"/>
    <col min="14" max="14" width="3.5703125" style="7" customWidth="1"/>
    <col min="15" max="15" width="15" style="46" bestFit="1" customWidth="1"/>
    <col min="16" max="16384" width="10.85546875" style="7"/>
  </cols>
  <sheetData>
    <row r="1" spans="1:15" ht="25.5" x14ac:dyDescent="0.2">
      <c r="A1" s="152" t="s">
        <v>71</v>
      </c>
      <c r="B1" s="152"/>
      <c r="C1" s="152"/>
      <c r="D1" s="152"/>
      <c r="E1" s="152"/>
      <c r="F1" s="152"/>
      <c r="G1" s="152"/>
      <c r="H1" s="152"/>
      <c r="I1" s="152"/>
      <c r="J1" s="152"/>
      <c r="K1" s="152"/>
      <c r="L1" s="152"/>
      <c r="M1" s="152"/>
      <c r="N1" s="152"/>
      <c r="O1" s="152"/>
    </row>
    <row r="2" spans="1:15" ht="45" customHeight="1" thickBot="1" x14ac:dyDescent="0.25">
      <c r="A2" s="153" t="s">
        <v>198</v>
      </c>
      <c r="B2" s="154"/>
      <c r="C2" s="154"/>
      <c r="D2" s="154"/>
      <c r="E2" s="155"/>
      <c r="F2" s="155"/>
      <c r="G2" s="155"/>
      <c r="H2" s="155"/>
      <c r="I2" s="155"/>
      <c r="J2" s="155"/>
      <c r="K2" s="155"/>
      <c r="L2" s="155"/>
      <c r="M2" s="155"/>
      <c r="N2" s="156"/>
      <c r="O2" s="156"/>
    </row>
    <row r="3" spans="1:15" ht="15.6" customHeight="1" thickBot="1" x14ac:dyDescent="0.25">
      <c r="A3" s="8"/>
      <c r="B3" s="15" t="s">
        <v>148</v>
      </c>
      <c r="C3" s="15" t="s">
        <v>149</v>
      </c>
      <c r="D3" s="15" t="s">
        <v>150</v>
      </c>
      <c r="E3" s="15" t="s">
        <v>151</v>
      </c>
      <c r="F3" s="15" t="s">
        <v>152</v>
      </c>
      <c r="G3" s="15" t="s">
        <v>153</v>
      </c>
      <c r="H3" s="15" t="s">
        <v>154</v>
      </c>
      <c r="I3" s="15" t="s">
        <v>155</v>
      </c>
      <c r="J3" s="15" t="s">
        <v>156</v>
      </c>
      <c r="K3" s="15" t="s">
        <v>157</v>
      </c>
      <c r="L3" s="15" t="s">
        <v>158</v>
      </c>
      <c r="M3" s="59" t="s">
        <v>159</v>
      </c>
      <c r="O3" s="48" t="s">
        <v>86</v>
      </c>
    </row>
    <row r="4" spans="1:15" ht="13.5" thickBot="1" x14ac:dyDescent="0.25">
      <c r="A4" s="16" t="s">
        <v>70</v>
      </c>
      <c r="B4" s="33"/>
      <c r="C4" s="31">
        <f>B59</f>
        <v>1940</v>
      </c>
      <c r="D4" s="31">
        <f t="shared" ref="D4:M4" si="0">C59</f>
        <v>-1933.1290625000001</v>
      </c>
      <c r="E4" s="31">
        <f t="shared" si="0"/>
        <v>-1798.6521874999999</v>
      </c>
      <c r="F4" s="31">
        <f t="shared" si="0"/>
        <v>-2367.7043749999993</v>
      </c>
      <c r="G4" s="31">
        <f t="shared" si="0"/>
        <v>769.59775000000081</v>
      </c>
      <c r="H4" s="31">
        <f t="shared" si="0"/>
        <v>4293.6790000000019</v>
      </c>
      <c r="I4" s="31">
        <f t="shared" si="0"/>
        <v>5904.9701250000035</v>
      </c>
      <c r="J4" s="31">
        <f t="shared" si="0"/>
        <v>13382.960000000006</v>
      </c>
      <c r="K4" s="31">
        <f t="shared" si="0"/>
        <v>18514.067500000008</v>
      </c>
      <c r="L4" s="31">
        <f t="shared" si="0"/>
        <v>23773.323375000011</v>
      </c>
      <c r="M4" s="32">
        <f t="shared" si="0"/>
        <v>30853.513250000015</v>
      </c>
    </row>
    <row r="5" spans="1:15" ht="6.95" customHeight="1" thickBot="1" x14ac:dyDescent="0.25">
      <c r="A5" s="13"/>
      <c r="B5" s="14"/>
      <c r="C5" s="14"/>
      <c r="D5" s="14"/>
      <c r="E5" s="14"/>
      <c r="F5" s="14"/>
      <c r="G5" s="14"/>
      <c r="H5" s="14"/>
      <c r="I5" s="14"/>
      <c r="J5" s="14"/>
      <c r="K5" s="14"/>
      <c r="L5" s="14"/>
      <c r="M5" s="14"/>
    </row>
    <row r="6" spans="1:15" ht="15" x14ac:dyDescent="0.25">
      <c r="A6" s="158" t="s">
        <v>69</v>
      </c>
      <c r="B6" s="159"/>
      <c r="C6" s="159"/>
      <c r="D6" s="159"/>
      <c r="E6" s="159"/>
      <c r="F6" s="159"/>
      <c r="G6" s="159"/>
      <c r="H6" s="159"/>
      <c r="I6" s="159"/>
      <c r="J6" s="159"/>
      <c r="K6" s="159"/>
      <c r="L6" s="159"/>
      <c r="M6" s="160"/>
      <c r="O6" s="53"/>
    </row>
    <row r="7" spans="1:15" x14ac:dyDescent="0.2">
      <c r="A7" s="21" t="s">
        <v>7</v>
      </c>
      <c r="B7" s="22">
        <f>+SUM(B8:B12)</f>
        <v>0</v>
      </c>
      <c r="C7" s="22">
        <f t="shared" ref="C7:M7" si="1">+SUM(C8:C12)</f>
        <v>0</v>
      </c>
      <c r="D7" s="22">
        <f t="shared" si="1"/>
        <v>4426.40625</v>
      </c>
      <c r="E7" s="22">
        <f t="shared" si="1"/>
        <v>4426.40625</v>
      </c>
      <c r="F7" s="22">
        <f t="shared" si="1"/>
        <v>8852.8125</v>
      </c>
      <c r="G7" s="22">
        <f t="shared" si="1"/>
        <v>10620.015000000001</v>
      </c>
      <c r="H7" s="22">
        <f t="shared" si="1"/>
        <v>14162.820000000002</v>
      </c>
      <c r="I7" s="22">
        <f t="shared" si="1"/>
        <v>19472.827500000003</v>
      </c>
      <c r="J7" s="22">
        <f t="shared" si="1"/>
        <v>17697.225000000002</v>
      </c>
      <c r="K7" s="22">
        <f t="shared" si="1"/>
        <v>17701.425000000003</v>
      </c>
      <c r="L7" s="22">
        <f t="shared" si="1"/>
        <v>19472.827500000003</v>
      </c>
      <c r="M7" s="26">
        <f t="shared" si="1"/>
        <v>17701.425000000003</v>
      </c>
      <c r="O7" s="49">
        <f>SUM(B7:M7)</f>
        <v>134534.19</v>
      </c>
    </row>
    <row r="8" spans="1:15" x14ac:dyDescent="0.2">
      <c r="A8" s="11" t="s">
        <v>16</v>
      </c>
      <c r="B8" s="9">
        <v>0</v>
      </c>
      <c r="C8" s="9">
        <v>0</v>
      </c>
      <c r="D8" s="9">
        <f>15912.75*1.1*0.25</f>
        <v>4376.0062500000004</v>
      </c>
      <c r="E8" s="9">
        <f>15912.75*1.1*0.25</f>
        <v>4376.0062500000004</v>
      </c>
      <c r="F8" s="9">
        <f>15912.75*1.1*0.5</f>
        <v>8752.0125000000007</v>
      </c>
      <c r="G8" s="9">
        <f>15912.75*1.1*0.6</f>
        <v>10502.415000000001</v>
      </c>
      <c r="H8" s="9">
        <f>15912.75*1.1*0.8</f>
        <v>14003.220000000001</v>
      </c>
      <c r="I8" s="9">
        <f>15912.75*1.1*1.1</f>
        <v>19254.427500000002</v>
      </c>
      <c r="J8" s="9">
        <f>15912.75*1.1</f>
        <v>17504.025000000001</v>
      </c>
      <c r="K8" s="9">
        <f>15912.75*1.1</f>
        <v>17504.025000000001</v>
      </c>
      <c r="L8" s="9">
        <f>15912.75*1.1*1.1</f>
        <v>19254.427500000002</v>
      </c>
      <c r="M8" s="12">
        <f>15912.75*1.1</f>
        <v>17504.025000000001</v>
      </c>
      <c r="O8" s="50">
        <f t="shared" ref="O8:O55" si="2">SUM(B8:M8)</f>
        <v>133030.59000000003</v>
      </c>
    </row>
    <row r="9" spans="1:15" x14ac:dyDescent="0.2">
      <c r="A9" s="11" t="s">
        <v>17</v>
      </c>
      <c r="B9" s="9"/>
      <c r="C9" s="9"/>
      <c r="D9" s="9"/>
      <c r="E9" s="9"/>
      <c r="F9" s="9"/>
      <c r="G9" s="9"/>
      <c r="H9" s="9"/>
      <c r="I9" s="9"/>
      <c r="J9" s="9"/>
      <c r="K9" s="9"/>
      <c r="L9" s="9"/>
      <c r="M9" s="12"/>
      <c r="O9" s="50">
        <f t="shared" si="2"/>
        <v>0</v>
      </c>
    </row>
    <row r="10" spans="1:15" x14ac:dyDescent="0.2">
      <c r="A10" s="11" t="s">
        <v>175</v>
      </c>
      <c r="B10" s="9"/>
      <c r="C10" s="9"/>
      <c r="D10" s="9">
        <f>12*3.5*1.2</f>
        <v>50.4</v>
      </c>
      <c r="E10" s="9">
        <f t="shared" ref="E10" si="3">12*3.5*1.2</f>
        <v>50.4</v>
      </c>
      <c r="F10" s="9">
        <f>24*3.5*1.2</f>
        <v>100.8</v>
      </c>
      <c r="G10" s="9">
        <f>28*3.5*1.2</f>
        <v>117.6</v>
      </c>
      <c r="H10" s="9">
        <f>38*3.5*1.2</f>
        <v>159.6</v>
      </c>
      <c r="I10" s="9">
        <f>52*3.5*1.2</f>
        <v>218.4</v>
      </c>
      <c r="J10" s="9">
        <f>46*3.5*1.2</f>
        <v>193.2</v>
      </c>
      <c r="K10" s="9">
        <f>47*3.5*1.2</f>
        <v>197.4</v>
      </c>
      <c r="L10" s="9">
        <f>52*3.5*1.2</f>
        <v>218.4</v>
      </c>
      <c r="M10" s="12">
        <f>47*3.5*1.2</f>
        <v>197.4</v>
      </c>
      <c r="O10" s="50">
        <f t="shared" si="2"/>
        <v>1503.6000000000001</v>
      </c>
    </row>
    <row r="11" spans="1:15" x14ac:dyDescent="0.2">
      <c r="A11" s="11" t="s">
        <v>18</v>
      </c>
      <c r="B11" s="9"/>
      <c r="C11" s="9"/>
      <c r="D11" s="9"/>
      <c r="E11" s="9"/>
      <c r="F11" s="9"/>
      <c r="G11" s="9"/>
      <c r="H11" s="9"/>
      <c r="I11" s="9"/>
      <c r="J11" s="9"/>
      <c r="K11" s="9"/>
      <c r="L11" s="9"/>
      <c r="M11" s="12"/>
      <c r="O11" s="50">
        <f t="shared" si="2"/>
        <v>0</v>
      </c>
    </row>
    <row r="12" spans="1:15" x14ac:dyDescent="0.2">
      <c r="A12" s="11" t="s">
        <v>78</v>
      </c>
      <c r="B12" s="9"/>
      <c r="C12" s="9"/>
      <c r="D12" s="9"/>
      <c r="E12" s="9"/>
      <c r="F12" s="9"/>
      <c r="G12" s="9"/>
      <c r="H12" s="9"/>
      <c r="I12" s="9"/>
      <c r="J12" s="9"/>
      <c r="K12" s="9"/>
      <c r="L12" s="9"/>
      <c r="M12" s="12"/>
      <c r="O12" s="50">
        <f t="shared" si="2"/>
        <v>0</v>
      </c>
    </row>
    <row r="13" spans="1:15" x14ac:dyDescent="0.2">
      <c r="A13" s="21" t="s">
        <v>8</v>
      </c>
      <c r="B13" s="27">
        <f t="shared" ref="B13:M13" si="4">SUM(B14:B17)</f>
        <v>50000</v>
      </c>
      <c r="C13" s="27">
        <f t="shared" si="4"/>
        <v>0</v>
      </c>
      <c r="D13" s="27">
        <f t="shared" si="4"/>
        <v>0</v>
      </c>
      <c r="E13" s="27">
        <f t="shared" si="4"/>
        <v>0</v>
      </c>
      <c r="F13" s="27">
        <f t="shared" si="4"/>
        <v>0</v>
      </c>
      <c r="G13" s="27">
        <f t="shared" si="4"/>
        <v>0</v>
      </c>
      <c r="H13" s="27">
        <f t="shared" si="4"/>
        <v>0</v>
      </c>
      <c r="I13" s="27">
        <f t="shared" si="4"/>
        <v>0</v>
      </c>
      <c r="J13" s="27">
        <f t="shared" si="4"/>
        <v>0</v>
      </c>
      <c r="K13" s="27">
        <f t="shared" si="4"/>
        <v>0</v>
      </c>
      <c r="L13" s="27">
        <f t="shared" si="4"/>
        <v>0</v>
      </c>
      <c r="M13" s="28">
        <f t="shared" si="4"/>
        <v>0</v>
      </c>
      <c r="O13" s="49">
        <f t="shared" si="2"/>
        <v>50000</v>
      </c>
    </row>
    <row r="14" spans="1:15" x14ac:dyDescent="0.2">
      <c r="A14" s="11" t="s">
        <v>57</v>
      </c>
      <c r="B14" s="9">
        <v>8000</v>
      </c>
      <c r="C14" s="9"/>
      <c r="D14" s="9"/>
      <c r="E14" s="9"/>
      <c r="F14" s="9"/>
      <c r="G14" s="9"/>
      <c r="H14" s="9"/>
      <c r="I14" s="9"/>
      <c r="J14" s="9"/>
      <c r="K14" s="9"/>
      <c r="L14" s="9"/>
      <c r="M14" s="12"/>
      <c r="O14" s="50">
        <f t="shared" si="2"/>
        <v>8000</v>
      </c>
    </row>
    <row r="15" spans="1:15" x14ac:dyDescent="0.2">
      <c r="A15" s="11" t="s">
        <v>58</v>
      </c>
      <c r="B15" s="9">
        <v>22000</v>
      </c>
      <c r="C15" s="9"/>
      <c r="D15" s="9"/>
      <c r="E15" s="9"/>
      <c r="F15" s="9"/>
      <c r="G15" s="9"/>
      <c r="H15" s="9"/>
      <c r="I15" s="9"/>
      <c r="J15" s="9"/>
      <c r="K15" s="9"/>
      <c r="L15" s="9"/>
      <c r="M15" s="12"/>
      <c r="O15" s="50">
        <f t="shared" si="2"/>
        <v>22000</v>
      </c>
    </row>
    <row r="16" spans="1:15" x14ac:dyDescent="0.2">
      <c r="A16" s="11" t="s">
        <v>59</v>
      </c>
      <c r="B16" s="9"/>
      <c r="C16" s="9"/>
      <c r="D16" s="9"/>
      <c r="E16" s="9"/>
      <c r="F16" s="9"/>
      <c r="G16" s="9"/>
      <c r="H16" s="9"/>
      <c r="I16" s="9"/>
      <c r="J16" s="9"/>
      <c r="K16" s="9"/>
      <c r="L16" s="9"/>
      <c r="M16" s="12"/>
      <c r="O16" s="50">
        <f t="shared" si="2"/>
        <v>0</v>
      </c>
    </row>
    <row r="17" spans="1:15" x14ac:dyDescent="0.2">
      <c r="A17" s="11" t="s">
        <v>81</v>
      </c>
      <c r="B17" s="9">
        <v>20000</v>
      </c>
      <c r="C17" s="9"/>
      <c r="D17" s="9"/>
      <c r="E17" s="9"/>
      <c r="F17" s="9"/>
      <c r="G17" s="9"/>
      <c r="H17" s="9"/>
      <c r="I17" s="9"/>
      <c r="J17" s="9"/>
      <c r="K17" s="9"/>
      <c r="L17" s="9"/>
      <c r="M17" s="12"/>
      <c r="O17" s="50">
        <f t="shared" si="2"/>
        <v>20000</v>
      </c>
    </row>
    <row r="18" spans="1:15" ht="13.5" thickBot="1" x14ac:dyDescent="0.25">
      <c r="A18" s="23" t="s">
        <v>74</v>
      </c>
      <c r="B18" s="24">
        <f t="shared" ref="B18:M18" si="5">B7+B13</f>
        <v>50000</v>
      </c>
      <c r="C18" s="24">
        <f t="shared" si="5"/>
        <v>0</v>
      </c>
      <c r="D18" s="24">
        <f t="shared" si="5"/>
        <v>4426.40625</v>
      </c>
      <c r="E18" s="24">
        <f t="shared" si="5"/>
        <v>4426.40625</v>
      </c>
      <c r="F18" s="24">
        <f t="shared" si="5"/>
        <v>8852.8125</v>
      </c>
      <c r="G18" s="24">
        <f t="shared" si="5"/>
        <v>10620.015000000001</v>
      </c>
      <c r="H18" s="24">
        <f t="shared" si="5"/>
        <v>14162.820000000002</v>
      </c>
      <c r="I18" s="24">
        <f t="shared" si="5"/>
        <v>19472.827500000003</v>
      </c>
      <c r="J18" s="24">
        <f t="shared" si="5"/>
        <v>17697.225000000002</v>
      </c>
      <c r="K18" s="24">
        <f t="shared" si="5"/>
        <v>17701.425000000003</v>
      </c>
      <c r="L18" s="24">
        <f t="shared" si="5"/>
        <v>19472.827500000003</v>
      </c>
      <c r="M18" s="25">
        <f t="shared" si="5"/>
        <v>17701.425000000003</v>
      </c>
      <c r="O18" s="51">
        <f t="shared" si="2"/>
        <v>184534.19</v>
      </c>
    </row>
    <row r="19" spans="1:15" ht="6.95" customHeight="1" thickBot="1" x14ac:dyDescent="0.25">
      <c r="A19" s="10"/>
      <c r="B19" s="157"/>
      <c r="C19" s="157"/>
      <c r="D19" s="157"/>
      <c r="E19" s="157"/>
      <c r="F19" s="157"/>
      <c r="G19" s="157"/>
      <c r="H19" s="157"/>
      <c r="I19" s="157"/>
      <c r="J19" s="157"/>
      <c r="K19" s="157"/>
      <c r="L19" s="157"/>
      <c r="M19" s="157"/>
      <c r="O19" s="47"/>
    </row>
    <row r="20" spans="1:15" ht="15" x14ac:dyDescent="0.25">
      <c r="A20" s="161" t="s">
        <v>199</v>
      </c>
      <c r="B20" s="162"/>
      <c r="C20" s="162"/>
      <c r="D20" s="162"/>
      <c r="E20" s="162"/>
      <c r="F20" s="162"/>
      <c r="G20" s="162"/>
      <c r="H20" s="162"/>
      <c r="I20" s="162"/>
      <c r="J20" s="162"/>
      <c r="K20" s="162"/>
      <c r="L20" s="162"/>
      <c r="M20" s="163"/>
      <c r="O20" s="53"/>
    </row>
    <row r="21" spans="1:15" x14ac:dyDescent="0.2">
      <c r="A21" s="21" t="s">
        <v>7</v>
      </c>
      <c r="B21" s="22">
        <f>+SUM(B22:B49)</f>
        <v>2406</v>
      </c>
      <c r="C21" s="22">
        <f t="shared" ref="C21:M21" si="6">+SUM(C22:C49)</f>
        <v>3339.1290625000001</v>
      </c>
      <c r="D21" s="22">
        <f t="shared" si="6"/>
        <v>3757.9293749999997</v>
      </c>
      <c r="E21" s="22">
        <f t="shared" si="6"/>
        <v>4461.4584374999995</v>
      </c>
      <c r="F21" s="22">
        <f t="shared" si="6"/>
        <v>5181.5103749999998</v>
      </c>
      <c r="G21" s="22">
        <f t="shared" si="6"/>
        <v>6561.9337500000001</v>
      </c>
      <c r="H21" s="22">
        <f t="shared" si="6"/>
        <v>12017.528875</v>
      </c>
      <c r="I21" s="22">
        <f t="shared" si="6"/>
        <v>11460.837625</v>
      </c>
      <c r="J21" s="22">
        <f t="shared" si="6"/>
        <v>12032.1175</v>
      </c>
      <c r="K21" s="22">
        <f t="shared" si="6"/>
        <v>11908.169125</v>
      </c>
      <c r="L21" s="22">
        <f t="shared" si="6"/>
        <v>11858.637624999999</v>
      </c>
      <c r="M21" s="26">
        <f t="shared" si="6"/>
        <v>11672.1175</v>
      </c>
      <c r="O21" s="49">
        <f t="shared" si="2"/>
        <v>96657.369249999989</v>
      </c>
    </row>
    <row r="22" spans="1:15" x14ac:dyDescent="0.2">
      <c r="A22" s="11" t="s">
        <v>178</v>
      </c>
      <c r="B22" s="9"/>
      <c r="C22" s="9">
        <f>(D8/1.1)*0.3*1.05</f>
        <v>1253.1290624999999</v>
      </c>
      <c r="D22" s="9">
        <f t="shared" ref="D22:L22" si="7">(E8/1.1)*0.3*1.05</f>
        <v>1253.1290624999999</v>
      </c>
      <c r="E22" s="9">
        <f t="shared" si="7"/>
        <v>2506.2581249999998</v>
      </c>
      <c r="F22" s="9">
        <f t="shared" si="7"/>
        <v>3007.5097499999997</v>
      </c>
      <c r="G22" s="9">
        <f t="shared" si="7"/>
        <v>4010.0129999999999</v>
      </c>
      <c r="H22" s="9">
        <f t="shared" si="7"/>
        <v>5513.7678750000005</v>
      </c>
      <c r="I22" s="9">
        <f t="shared" si="7"/>
        <v>5012.5162499999997</v>
      </c>
      <c r="J22" s="9">
        <f t="shared" si="7"/>
        <v>5012.5162499999997</v>
      </c>
      <c r="K22" s="9">
        <f t="shared" si="7"/>
        <v>5513.7678750000005</v>
      </c>
      <c r="L22" s="9">
        <f t="shared" si="7"/>
        <v>5012.5162499999997</v>
      </c>
      <c r="M22" s="12">
        <f>(M8/1.1)*0.3*1.05</f>
        <v>5012.5162499999997</v>
      </c>
      <c r="O22" s="50">
        <f t="shared" si="2"/>
        <v>43107.639750000002</v>
      </c>
    </row>
    <row r="23" spans="1:15" x14ac:dyDescent="0.2">
      <c r="A23" s="11" t="s">
        <v>144</v>
      </c>
      <c r="B23" s="9"/>
      <c r="C23" s="9">
        <v>400</v>
      </c>
      <c r="D23" s="9">
        <f>D8*5/100</f>
        <v>218.80031249999999</v>
      </c>
      <c r="E23" s="9">
        <f t="shared" ref="E23:M23" si="8">E8*5/100</f>
        <v>218.80031249999999</v>
      </c>
      <c r="F23" s="9">
        <f t="shared" si="8"/>
        <v>437.60062499999998</v>
      </c>
      <c r="G23" s="9">
        <f t="shared" si="8"/>
        <v>525.12075000000004</v>
      </c>
      <c r="H23" s="9">
        <f>H8*5/100</f>
        <v>700.16100000000006</v>
      </c>
      <c r="I23" s="9">
        <f t="shared" si="8"/>
        <v>962.72137500000008</v>
      </c>
      <c r="J23" s="9">
        <f t="shared" si="8"/>
        <v>875.20124999999996</v>
      </c>
      <c r="K23" s="9">
        <f t="shared" si="8"/>
        <v>875.20124999999996</v>
      </c>
      <c r="L23" s="9">
        <f t="shared" si="8"/>
        <v>962.72137500000008</v>
      </c>
      <c r="M23" s="12">
        <f t="shared" si="8"/>
        <v>875.20124999999996</v>
      </c>
      <c r="O23" s="50">
        <f t="shared" si="2"/>
        <v>7051.5295000000006</v>
      </c>
    </row>
    <row r="24" spans="1:15" x14ac:dyDescent="0.2">
      <c r="A24" s="11"/>
      <c r="B24" s="9"/>
      <c r="C24" s="9"/>
      <c r="D24" s="9"/>
      <c r="E24" s="9"/>
      <c r="F24" s="9"/>
      <c r="G24" s="9"/>
      <c r="H24" s="9"/>
      <c r="I24" s="9"/>
      <c r="J24" s="9"/>
      <c r="K24" s="9"/>
      <c r="L24" s="9"/>
      <c r="M24" s="12"/>
      <c r="O24" s="50">
        <f t="shared" si="2"/>
        <v>0</v>
      </c>
    </row>
    <row r="25" spans="1:15" x14ac:dyDescent="0.2">
      <c r="A25" s="11" t="s">
        <v>145</v>
      </c>
      <c r="B25" s="9"/>
      <c r="C25" s="9"/>
      <c r="D25" s="9"/>
      <c r="E25" s="9">
        <f>D10</f>
        <v>50.4</v>
      </c>
      <c r="F25" s="9">
        <f t="shared" ref="F25:M25" si="9">E10</f>
        <v>50.4</v>
      </c>
      <c r="G25" s="9">
        <f t="shared" si="9"/>
        <v>100.8</v>
      </c>
      <c r="H25" s="9">
        <f t="shared" si="9"/>
        <v>117.6</v>
      </c>
      <c r="I25" s="9">
        <f t="shared" si="9"/>
        <v>159.6</v>
      </c>
      <c r="J25" s="9">
        <f t="shared" si="9"/>
        <v>218.4</v>
      </c>
      <c r="K25" s="9">
        <f t="shared" si="9"/>
        <v>193.2</v>
      </c>
      <c r="L25" s="9">
        <f t="shared" si="9"/>
        <v>197.4</v>
      </c>
      <c r="M25" s="12">
        <f t="shared" si="9"/>
        <v>218.4</v>
      </c>
      <c r="O25" s="50">
        <f t="shared" si="2"/>
        <v>1306.2</v>
      </c>
    </row>
    <row r="26" spans="1:15" x14ac:dyDescent="0.2">
      <c r="A26" s="11" t="s">
        <v>6</v>
      </c>
      <c r="B26" s="9">
        <f>700*1.2</f>
        <v>840</v>
      </c>
      <c r="C26" s="9">
        <f t="shared" ref="C26:M26" si="10">700*1.2</f>
        <v>840</v>
      </c>
      <c r="D26" s="9">
        <f t="shared" si="10"/>
        <v>840</v>
      </c>
      <c r="E26" s="9">
        <f t="shared" si="10"/>
        <v>840</v>
      </c>
      <c r="F26" s="9">
        <f t="shared" si="10"/>
        <v>840</v>
      </c>
      <c r="G26" s="9">
        <f t="shared" si="10"/>
        <v>840</v>
      </c>
      <c r="H26" s="9">
        <f t="shared" si="10"/>
        <v>840</v>
      </c>
      <c r="I26" s="9">
        <f t="shared" si="10"/>
        <v>840</v>
      </c>
      <c r="J26" s="9">
        <f t="shared" si="10"/>
        <v>840</v>
      </c>
      <c r="K26" s="9">
        <f t="shared" si="10"/>
        <v>840</v>
      </c>
      <c r="L26" s="9">
        <f t="shared" si="10"/>
        <v>840</v>
      </c>
      <c r="M26" s="12">
        <f t="shared" si="10"/>
        <v>840</v>
      </c>
      <c r="O26" s="50">
        <f t="shared" si="2"/>
        <v>10080</v>
      </c>
    </row>
    <row r="27" spans="1:15" x14ac:dyDescent="0.2">
      <c r="A27" s="11" t="s">
        <v>1</v>
      </c>
      <c r="B27" s="9">
        <f>1200*1.2/4</f>
        <v>360</v>
      </c>
      <c r="C27" s="9"/>
      <c r="D27" s="9"/>
      <c r="E27" s="9">
        <f>1200*1.2/4</f>
        <v>360</v>
      </c>
      <c r="F27" s="9"/>
      <c r="G27" s="9"/>
      <c r="H27" s="9">
        <f>1200*1.2/4</f>
        <v>360</v>
      </c>
      <c r="I27" s="9"/>
      <c r="J27" s="9"/>
      <c r="K27" s="9">
        <f>1200*1.2/4</f>
        <v>360</v>
      </c>
      <c r="L27" s="9"/>
      <c r="M27" s="12"/>
      <c r="O27" s="50">
        <f t="shared" si="2"/>
        <v>1440</v>
      </c>
    </row>
    <row r="28" spans="1:15" x14ac:dyDescent="0.2">
      <c r="A28" s="11" t="s">
        <v>23</v>
      </c>
      <c r="B28" s="9">
        <f>25*1.2</f>
        <v>30</v>
      </c>
      <c r="C28" s="9">
        <f t="shared" ref="C28:M28" si="11">25*1.2</f>
        <v>30</v>
      </c>
      <c r="D28" s="9">
        <f t="shared" si="11"/>
        <v>30</v>
      </c>
      <c r="E28" s="9">
        <f t="shared" si="11"/>
        <v>30</v>
      </c>
      <c r="F28" s="9">
        <f t="shared" si="11"/>
        <v>30</v>
      </c>
      <c r="G28" s="9">
        <f t="shared" si="11"/>
        <v>30</v>
      </c>
      <c r="H28" s="9">
        <f t="shared" si="11"/>
        <v>30</v>
      </c>
      <c r="I28" s="9">
        <f t="shared" si="11"/>
        <v>30</v>
      </c>
      <c r="J28" s="9">
        <f t="shared" si="11"/>
        <v>30</v>
      </c>
      <c r="K28" s="9">
        <f t="shared" si="11"/>
        <v>30</v>
      </c>
      <c r="L28" s="9">
        <f t="shared" si="11"/>
        <v>30</v>
      </c>
      <c r="M28" s="12">
        <f t="shared" si="11"/>
        <v>30</v>
      </c>
      <c r="O28" s="50">
        <f t="shared" si="2"/>
        <v>360</v>
      </c>
    </row>
    <row r="29" spans="1:15" x14ac:dyDescent="0.2">
      <c r="A29" s="11" t="s">
        <v>5</v>
      </c>
      <c r="B29" s="9">
        <f>120*1.2</f>
        <v>144</v>
      </c>
      <c r="C29" s="9">
        <f t="shared" ref="C29:M29" si="12">120*1.2</f>
        <v>144</v>
      </c>
      <c r="D29" s="9">
        <f t="shared" si="12"/>
        <v>144</v>
      </c>
      <c r="E29" s="9">
        <f t="shared" si="12"/>
        <v>144</v>
      </c>
      <c r="F29" s="9">
        <f t="shared" si="12"/>
        <v>144</v>
      </c>
      <c r="G29" s="9">
        <f t="shared" si="12"/>
        <v>144</v>
      </c>
      <c r="H29" s="9">
        <f t="shared" si="12"/>
        <v>144</v>
      </c>
      <c r="I29" s="9">
        <f t="shared" si="12"/>
        <v>144</v>
      </c>
      <c r="J29" s="9">
        <f t="shared" si="12"/>
        <v>144</v>
      </c>
      <c r="K29" s="9">
        <f t="shared" si="12"/>
        <v>144</v>
      </c>
      <c r="L29" s="9">
        <f t="shared" si="12"/>
        <v>144</v>
      </c>
      <c r="M29" s="12">
        <f t="shared" si="12"/>
        <v>144</v>
      </c>
      <c r="O29" s="50">
        <f t="shared" si="2"/>
        <v>1728</v>
      </c>
    </row>
    <row r="30" spans="1:15" x14ac:dyDescent="0.2">
      <c r="A30" s="11" t="s">
        <v>2</v>
      </c>
      <c r="B30" s="9"/>
      <c r="C30" s="9"/>
      <c r="D30" s="9"/>
      <c r="E30" s="9"/>
      <c r="F30" s="9"/>
      <c r="G30" s="9"/>
      <c r="H30" s="9"/>
      <c r="I30" s="9"/>
      <c r="J30" s="9"/>
      <c r="K30" s="9"/>
      <c r="L30" s="9"/>
      <c r="M30" s="12"/>
      <c r="O30" s="50">
        <f t="shared" si="2"/>
        <v>0</v>
      </c>
    </row>
    <row r="31" spans="1:15" x14ac:dyDescent="0.2">
      <c r="A31" s="11" t="s">
        <v>4</v>
      </c>
      <c r="B31" s="9"/>
      <c r="C31" s="9"/>
      <c r="D31" s="9"/>
      <c r="E31" s="9"/>
      <c r="F31" s="9"/>
      <c r="G31" s="9"/>
      <c r="H31" s="9"/>
      <c r="I31" s="9"/>
      <c r="J31" s="9"/>
      <c r="K31" s="9"/>
      <c r="L31" s="9"/>
      <c r="M31" s="12"/>
      <c r="O31" s="50">
        <f t="shared" si="2"/>
        <v>0</v>
      </c>
    </row>
    <row r="32" spans="1:15" x14ac:dyDescent="0.2">
      <c r="A32" s="11" t="s">
        <v>3</v>
      </c>
      <c r="B32" s="9">
        <f>60*1.2</f>
        <v>72</v>
      </c>
      <c r="C32" s="9">
        <f t="shared" ref="C32:M32" si="13">60*1.2</f>
        <v>72</v>
      </c>
      <c r="D32" s="9">
        <f t="shared" si="13"/>
        <v>72</v>
      </c>
      <c r="E32" s="9">
        <f t="shared" si="13"/>
        <v>72</v>
      </c>
      <c r="F32" s="9">
        <f t="shared" si="13"/>
        <v>72</v>
      </c>
      <c r="G32" s="9">
        <f t="shared" si="13"/>
        <v>72</v>
      </c>
      <c r="H32" s="9">
        <f t="shared" si="13"/>
        <v>72</v>
      </c>
      <c r="I32" s="9">
        <f t="shared" si="13"/>
        <v>72</v>
      </c>
      <c r="J32" s="9">
        <f t="shared" si="13"/>
        <v>72</v>
      </c>
      <c r="K32" s="9">
        <f t="shared" si="13"/>
        <v>72</v>
      </c>
      <c r="L32" s="9">
        <f t="shared" si="13"/>
        <v>72</v>
      </c>
      <c r="M32" s="12">
        <f t="shared" si="13"/>
        <v>72</v>
      </c>
      <c r="O32" s="50">
        <f t="shared" si="2"/>
        <v>864</v>
      </c>
    </row>
    <row r="33" spans="1:15" x14ac:dyDescent="0.2">
      <c r="A33" s="11" t="s">
        <v>22</v>
      </c>
      <c r="B33" s="9">
        <f>500*1.2</f>
        <v>600</v>
      </c>
      <c r="C33" s="9">
        <f t="shared" ref="C33" si="14">500*1.2</f>
        <v>600</v>
      </c>
      <c r="D33" s="9">
        <f t="shared" ref="D33" si="15">200*1.2</f>
        <v>240</v>
      </c>
      <c r="E33" s="9">
        <f t="shared" ref="E33:M33" si="16">200*1.2</f>
        <v>240</v>
      </c>
      <c r="F33" s="9">
        <f>200*1.2</f>
        <v>240</v>
      </c>
      <c r="G33" s="9">
        <f t="shared" si="16"/>
        <v>240</v>
      </c>
      <c r="H33" s="9">
        <f t="shared" si="16"/>
        <v>240</v>
      </c>
      <c r="I33" s="9">
        <f t="shared" ref="I33" si="17">500*1.2</f>
        <v>600</v>
      </c>
      <c r="J33" s="9">
        <f t="shared" si="16"/>
        <v>240</v>
      </c>
      <c r="K33" s="9">
        <f t="shared" si="16"/>
        <v>240</v>
      </c>
      <c r="L33" s="9">
        <f t="shared" ref="L33" si="18">500*1.2</f>
        <v>600</v>
      </c>
      <c r="M33" s="12">
        <f t="shared" si="16"/>
        <v>240</v>
      </c>
      <c r="O33" s="50">
        <f t="shared" si="2"/>
        <v>4320</v>
      </c>
    </row>
    <row r="34" spans="1:15" x14ac:dyDescent="0.2">
      <c r="A34" s="11" t="s">
        <v>20</v>
      </c>
      <c r="B34" s="9">
        <f>300*1.2</f>
        <v>360</v>
      </c>
      <c r="C34" s="9"/>
      <c r="D34" s="9">
        <f>300*1.2</f>
        <v>360</v>
      </c>
      <c r="E34" s="9"/>
      <c r="F34" s="9">
        <f>300*1.2</f>
        <v>360</v>
      </c>
      <c r="G34" s="9"/>
      <c r="H34" s="9">
        <f>300*1.2</f>
        <v>360</v>
      </c>
      <c r="I34" s="9"/>
      <c r="J34" s="9">
        <f>300*1.2</f>
        <v>360</v>
      </c>
      <c r="K34" s="9"/>
      <c r="L34" s="9">
        <f>300*1.2</f>
        <v>360</v>
      </c>
      <c r="M34" s="12"/>
      <c r="O34" s="50">
        <f t="shared" si="2"/>
        <v>2160</v>
      </c>
    </row>
    <row r="35" spans="1:15" x14ac:dyDescent="0.2">
      <c r="A35" s="11" t="s">
        <v>21</v>
      </c>
      <c r="B35" s="9"/>
      <c r="C35" s="9"/>
      <c r="D35" s="9">
        <f>2000/4*1.2</f>
        <v>600</v>
      </c>
      <c r="E35" s="9"/>
      <c r="F35" s="9"/>
      <c r="G35" s="9">
        <f>2000/4*1.2</f>
        <v>600</v>
      </c>
      <c r="H35" s="9"/>
      <c r="I35" s="9"/>
      <c r="J35" s="9">
        <f>2000/4*1.2</f>
        <v>600</v>
      </c>
      <c r="K35" s="9"/>
      <c r="L35" s="9"/>
      <c r="M35" s="12">
        <f>2000/4*1.2</f>
        <v>600</v>
      </c>
      <c r="O35" s="50">
        <f t="shared" si="2"/>
        <v>2400</v>
      </c>
    </row>
    <row r="36" spans="1:15" x14ac:dyDescent="0.2">
      <c r="A36" s="11" t="s">
        <v>24</v>
      </c>
      <c r="B36" s="9"/>
      <c r="C36" s="9"/>
      <c r="D36" s="9"/>
      <c r="E36" s="9"/>
      <c r="F36" s="9"/>
      <c r="G36" s="9"/>
      <c r="H36" s="9"/>
      <c r="I36" s="9"/>
      <c r="J36" s="9"/>
      <c r="K36" s="9"/>
      <c r="L36" s="9"/>
      <c r="M36" s="12"/>
      <c r="O36" s="50">
        <f t="shared" si="2"/>
        <v>0</v>
      </c>
    </row>
    <row r="37" spans="1:15" x14ac:dyDescent="0.2">
      <c r="A37" s="11" t="s">
        <v>24</v>
      </c>
      <c r="B37" s="9"/>
      <c r="C37" s="9"/>
      <c r="D37" s="9"/>
      <c r="E37" s="9"/>
      <c r="F37" s="9"/>
      <c r="G37" s="9"/>
      <c r="H37" s="9"/>
      <c r="I37" s="9"/>
      <c r="J37" s="9"/>
      <c r="K37" s="9"/>
      <c r="L37" s="9"/>
      <c r="M37" s="12"/>
      <c r="O37" s="50">
        <f t="shared" si="2"/>
        <v>0</v>
      </c>
    </row>
    <row r="38" spans="1:15" x14ac:dyDescent="0.2">
      <c r="A38" s="11" t="s">
        <v>24</v>
      </c>
      <c r="B38" s="9"/>
      <c r="C38" s="9"/>
      <c r="D38" s="9"/>
      <c r="E38" s="9"/>
      <c r="F38" s="9"/>
      <c r="G38" s="9"/>
      <c r="H38" s="9"/>
      <c r="I38" s="9"/>
      <c r="J38" s="9"/>
      <c r="K38" s="9"/>
      <c r="L38" s="9"/>
      <c r="M38" s="12"/>
      <c r="O38" s="50">
        <f t="shared" si="2"/>
        <v>0</v>
      </c>
    </row>
    <row r="39" spans="1:15" x14ac:dyDescent="0.2">
      <c r="A39" s="11" t="s">
        <v>24</v>
      </c>
      <c r="B39" s="9"/>
      <c r="C39" s="9"/>
      <c r="D39" s="9"/>
      <c r="E39" s="9"/>
      <c r="F39" s="9"/>
      <c r="G39" s="9"/>
      <c r="H39" s="9"/>
      <c r="I39" s="9"/>
      <c r="J39" s="9"/>
      <c r="K39" s="9"/>
      <c r="L39" s="9"/>
      <c r="M39" s="12"/>
      <c r="O39" s="50">
        <f t="shared" si="2"/>
        <v>0</v>
      </c>
    </row>
    <row r="40" spans="1:15" x14ac:dyDescent="0.2">
      <c r="A40" s="19" t="s">
        <v>66</v>
      </c>
      <c r="B40" s="9"/>
      <c r="C40" s="9"/>
      <c r="D40" s="9"/>
      <c r="E40" s="9"/>
      <c r="F40" s="9"/>
      <c r="G40" s="9"/>
      <c r="H40" s="9"/>
      <c r="I40" s="9"/>
      <c r="J40" s="9"/>
      <c r="K40" s="9"/>
      <c r="L40" s="9"/>
      <c r="M40" s="12"/>
      <c r="O40" s="50">
        <f t="shared" si="2"/>
        <v>0</v>
      </c>
    </row>
    <row r="41" spans="1:15" x14ac:dyDescent="0.2">
      <c r="A41" s="11" t="s">
        <v>67</v>
      </c>
      <c r="B41" s="9"/>
      <c r="C41" s="9"/>
      <c r="D41" s="9"/>
      <c r="E41" s="9"/>
      <c r="F41" s="9"/>
      <c r="G41" s="9"/>
      <c r="H41" s="9"/>
      <c r="I41" s="9"/>
      <c r="J41" s="9"/>
      <c r="K41" s="9"/>
      <c r="L41" s="9"/>
      <c r="M41" s="12"/>
      <c r="O41" s="50">
        <f t="shared" si="2"/>
        <v>0</v>
      </c>
    </row>
    <row r="42" spans="1:15" x14ac:dyDescent="0.2">
      <c r="A42" s="11" t="s">
        <v>68</v>
      </c>
      <c r="B42" s="9"/>
      <c r="C42" s="9"/>
      <c r="D42" s="9"/>
      <c r="E42" s="9"/>
      <c r="F42" s="9"/>
      <c r="G42" s="9"/>
      <c r="H42" s="9"/>
      <c r="I42" s="9"/>
      <c r="J42" s="9"/>
      <c r="K42" s="9"/>
      <c r="L42" s="9"/>
      <c r="M42" s="12"/>
      <c r="O42" s="50">
        <f t="shared" si="2"/>
        <v>0</v>
      </c>
    </row>
    <row r="43" spans="1:15" x14ac:dyDescent="0.2">
      <c r="A43" s="11" t="s">
        <v>26</v>
      </c>
      <c r="B43" s="9"/>
      <c r="C43" s="9"/>
      <c r="D43" s="9"/>
      <c r="E43" s="9"/>
      <c r="F43" s="9"/>
      <c r="G43" s="9"/>
      <c r="H43" s="9"/>
      <c r="I43" s="9"/>
      <c r="J43" s="9"/>
      <c r="K43" s="9"/>
      <c r="L43" s="9"/>
      <c r="M43" s="12"/>
      <c r="O43" s="50">
        <f t="shared" si="2"/>
        <v>0</v>
      </c>
    </row>
    <row r="44" spans="1:15" x14ac:dyDescent="0.2">
      <c r="A44" s="11" t="s">
        <v>27</v>
      </c>
      <c r="B44" s="9"/>
      <c r="C44" s="9"/>
      <c r="D44" s="9"/>
      <c r="E44" s="9"/>
      <c r="F44" s="9"/>
      <c r="G44" s="9"/>
      <c r="H44" s="9"/>
      <c r="I44" s="9"/>
      <c r="J44" s="9"/>
      <c r="K44" s="9"/>
      <c r="L44" s="9"/>
      <c r="M44" s="12"/>
      <c r="O44" s="50">
        <f t="shared" si="2"/>
        <v>0</v>
      </c>
    </row>
    <row r="45" spans="1:15" x14ac:dyDescent="0.2">
      <c r="A45" s="11" t="s">
        <v>37</v>
      </c>
      <c r="B45" s="9">
        <v>0</v>
      </c>
      <c r="C45" s="9">
        <v>0</v>
      </c>
      <c r="D45" s="9">
        <v>0</v>
      </c>
      <c r="E45" s="9">
        <v>0</v>
      </c>
      <c r="F45" s="9">
        <v>0</v>
      </c>
      <c r="G45" s="9">
        <v>0</v>
      </c>
      <c r="H45" s="9">
        <v>2000</v>
      </c>
      <c r="I45" s="9">
        <v>2000</v>
      </c>
      <c r="J45" s="9">
        <v>2000</v>
      </c>
      <c r="K45" s="9">
        <v>2000</v>
      </c>
      <c r="L45" s="9">
        <v>2000</v>
      </c>
      <c r="M45" s="12">
        <v>2000</v>
      </c>
      <c r="O45" s="50">
        <f t="shared" si="2"/>
        <v>12000</v>
      </c>
    </row>
    <row r="46" spans="1:15" x14ac:dyDescent="0.2">
      <c r="A46" s="11" t="s">
        <v>38</v>
      </c>
      <c r="B46" s="9">
        <f t="shared" ref="B46:G46" si="19">B45*82%</f>
        <v>0</v>
      </c>
      <c r="C46" s="9">
        <f t="shared" si="19"/>
        <v>0</v>
      </c>
      <c r="D46" s="9">
        <f t="shared" si="19"/>
        <v>0</v>
      </c>
      <c r="E46" s="9">
        <f t="shared" si="19"/>
        <v>0</v>
      </c>
      <c r="F46" s="9">
        <f t="shared" si="19"/>
        <v>0</v>
      </c>
      <c r="G46" s="9">
        <f t="shared" si="19"/>
        <v>0</v>
      </c>
      <c r="H46" s="9">
        <f>H45*82%</f>
        <v>1640</v>
      </c>
      <c r="I46" s="9">
        <f t="shared" ref="I46:M46" si="20">I45*82%</f>
        <v>1640</v>
      </c>
      <c r="J46" s="9">
        <f t="shared" si="20"/>
        <v>1640</v>
      </c>
      <c r="K46" s="9">
        <f t="shared" si="20"/>
        <v>1640</v>
      </c>
      <c r="L46" s="9">
        <f t="shared" si="20"/>
        <v>1640</v>
      </c>
      <c r="M46" s="12">
        <f t="shared" si="20"/>
        <v>1640</v>
      </c>
      <c r="O46" s="50">
        <f t="shared" si="2"/>
        <v>9840</v>
      </c>
    </row>
    <row r="47" spans="1:15" x14ac:dyDescent="0.2">
      <c r="A47" s="20" t="s">
        <v>72</v>
      </c>
      <c r="B47" s="9"/>
      <c r="C47" s="9"/>
      <c r="D47" s="9"/>
      <c r="E47" s="9"/>
      <c r="F47" s="9"/>
      <c r="G47" s="9"/>
      <c r="H47" s="9"/>
      <c r="I47" s="9"/>
      <c r="J47" s="9"/>
      <c r="K47" s="9"/>
      <c r="L47" s="9"/>
      <c r="M47" s="12"/>
      <c r="O47" s="50">
        <f t="shared" si="2"/>
        <v>0</v>
      </c>
    </row>
    <row r="48" spans="1:15" x14ac:dyDescent="0.2">
      <c r="A48" s="20" t="s">
        <v>73</v>
      </c>
      <c r="B48" s="9"/>
      <c r="C48" s="9"/>
      <c r="D48" s="9"/>
      <c r="E48" s="9"/>
      <c r="F48" s="9"/>
      <c r="G48" s="9"/>
      <c r="H48" s="9"/>
      <c r="I48" s="9"/>
      <c r="J48" s="9"/>
      <c r="K48" s="9"/>
      <c r="L48" s="9"/>
      <c r="M48" s="12"/>
      <c r="O48" s="50">
        <f t="shared" si="2"/>
        <v>0</v>
      </c>
    </row>
    <row r="49" spans="1:17" x14ac:dyDescent="0.2">
      <c r="A49" s="20" t="s">
        <v>79</v>
      </c>
      <c r="B49" s="9"/>
      <c r="C49" s="9"/>
      <c r="D49" s="9"/>
      <c r="E49" s="9"/>
      <c r="F49" s="9"/>
      <c r="G49" s="9"/>
      <c r="H49" s="9"/>
      <c r="I49" s="9"/>
      <c r="J49" s="9"/>
      <c r="K49" s="9"/>
      <c r="L49" s="9"/>
      <c r="M49" s="12"/>
      <c r="O49" s="50">
        <f t="shared" si="2"/>
        <v>0</v>
      </c>
    </row>
    <row r="50" spans="1:17" s="29" customFormat="1" x14ac:dyDescent="0.2">
      <c r="A50" s="21" t="s">
        <v>8</v>
      </c>
      <c r="B50" s="22">
        <f>SUM(B51:B54)</f>
        <v>45654</v>
      </c>
      <c r="C50" s="22">
        <f t="shared" ref="C50:M50" si="21">SUM(C51:C54)</f>
        <v>534</v>
      </c>
      <c r="D50" s="22">
        <f t="shared" si="21"/>
        <v>534</v>
      </c>
      <c r="E50" s="22">
        <f t="shared" si="21"/>
        <v>534</v>
      </c>
      <c r="F50" s="22">
        <f t="shared" si="21"/>
        <v>534</v>
      </c>
      <c r="G50" s="22">
        <f>SUM(G51:G54)</f>
        <v>534</v>
      </c>
      <c r="H50" s="22">
        <f t="shared" si="21"/>
        <v>534</v>
      </c>
      <c r="I50" s="22">
        <f t="shared" si="21"/>
        <v>534</v>
      </c>
      <c r="J50" s="22">
        <f t="shared" si="21"/>
        <v>534</v>
      </c>
      <c r="K50" s="22">
        <f t="shared" si="21"/>
        <v>534</v>
      </c>
      <c r="L50" s="22">
        <f t="shared" si="21"/>
        <v>534</v>
      </c>
      <c r="M50" s="26">
        <f t="shared" si="21"/>
        <v>534</v>
      </c>
      <c r="O50" s="49">
        <f>SUM(B50:M50)</f>
        <v>51528</v>
      </c>
    </row>
    <row r="51" spans="1:17" x14ac:dyDescent="0.2">
      <c r="A51" s="11" t="s">
        <v>43</v>
      </c>
      <c r="B51" s="9">
        <f>6500*1.2</f>
        <v>7800</v>
      </c>
      <c r="C51" s="9"/>
      <c r="D51" s="9"/>
      <c r="E51" s="9"/>
      <c r="F51" s="9"/>
      <c r="G51" s="9"/>
      <c r="H51" s="9"/>
      <c r="I51" s="9"/>
      <c r="J51" s="9"/>
      <c r="K51" s="9"/>
      <c r="L51" s="9"/>
      <c r="M51" s="12"/>
      <c r="O51" s="50">
        <f t="shared" si="2"/>
        <v>7800</v>
      </c>
    </row>
    <row r="52" spans="1:17" x14ac:dyDescent="0.2">
      <c r="A52" s="11" t="s">
        <v>51</v>
      </c>
      <c r="B52" s="9">
        <f>(12000+17000)*1.2</f>
        <v>34800</v>
      </c>
      <c r="C52" s="9"/>
      <c r="D52" s="9"/>
      <c r="E52" s="9"/>
      <c r="F52" s="9"/>
      <c r="G52" s="9"/>
      <c r="H52" s="9"/>
      <c r="I52" s="9"/>
      <c r="J52" s="9"/>
      <c r="K52" s="9"/>
      <c r="L52" s="9"/>
      <c r="M52" s="12"/>
      <c r="O52" s="50">
        <f t="shared" si="2"/>
        <v>34800</v>
      </c>
    </row>
    <row r="53" spans="1:17" x14ac:dyDescent="0.2">
      <c r="A53" s="11" t="s">
        <v>52</v>
      </c>
      <c r="B53" s="9">
        <f>700*1.2*3</f>
        <v>2520</v>
      </c>
      <c r="C53" s="9"/>
      <c r="D53" s="9"/>
      <c r="E53" s="9"/>
      <c r="F53" s="9"/>
      <c r="G53" s="9"/>
      <c r="H53" s="9"/>
      <c r="I53" s="9"/>
      <c r="J53" s="9"/>
      <c r="K53" s="9"/>
      <c r="L53" s="9"/>
      <c r="M53" s="12"/>
      <c r="O53" s="50">
        <f t="shared" si="2"/>
        <v>2520</v>
      </c>
    </row>
    <row r="54" spans="1:17" x14ac:dyDescent="0.2">
      <c r="A54" s="114" t="s">
        <v>185</v>
      </c>
      <c r="B54" s="60">
        <v>534</v>
      </c>
      <c r="C54" s="60">
        <v>534</v>
      </c>
      <c r="D54" s="60">
        <v>534</v>
      </c>
      <c r="E54" s="60">
        <v>534</v>
      </c>
      <c r="F54" s="60">
        <v>534</v>
      </c>
      <c r="G54" s="60">
        <v>534</v>
      </c>
      <c r="H54" s="60">
        <v>534</v>
      </c>
      <c r="I54" s="60">
        <v>534</v>
      </c>
      <c r="J54" s="60">
        <v>534</v>
      </c>
      <c r="K54" s="60">
        <v>534</v>
      </c>
      <c r="L54" s="60">
        <v>534</v>
      </c>
      <c r="M54" s="61">
        <v>534</v>
      </c>
      <c r="O54" s="62"/>
    </row>
    <row r="55" spans="1:17" ht="13.5" thickBot="1" x14ac:dyDescent="0.25">
      <c r="A55" s="23" t="s">
        <v>200</v>
      </c>
      <c r="B55" s="24">
        <f>B21+B50</f>
        <v>48060</v>
      </c>
      <c r="C55" s="24">
        <f>C21+C50</f>
        <v>3873.1290625000001</v>
      </c>
      <c r="D55" s="24">
        <f t="shared" ref="D55:M55" si="22">D21+D50</f>
        <v>4291.9293749999997</v>
      </c>
      <c r="E55" s="24">
        <f t="shared" si="22"/>
        <v>4995.4584374999995</v>
      </c>
      <c r="F55" s="24">
        <f t="shared" si="22"/>
        <v>5715.5103749999998</v>
      </c>
      <c r="G55" s="24">
        <f t="shared" si="22"/>
        <v>7095.9337500000001</v>
      </c>
      <c r="H55" s="24">
        <f t="shared" si="22"/>
        <v>12551.528875</v>
      </c>
      <c r="I55" s="24">
        <f t="shared" si="22"/>
        <v>11994.837625</v>
      </c>
      <c r="J55" s="24">
        <f t="shared" si="22"/>
        <v>12566.1175</v>
      </c>
      <c r="K55" s="24">
        <f t="shared" si="22"/>
        <v>12442.169125</v>
      </c>
      <c r="L55" s="24">
        <f t="shared" si="22"/>
        <v>12392.637624999999</v>
      </c>
      <c r="M55" s="25">
        <f t="shared" si="22"/>
        <v>12206.1175</v>
      </c>
      <c r="O55" s="51">
        <f t="shared" si="2"/>
        <v>148185.36924999999</v>
      </c>
    </row>
    <row r="56" spans="1:17" s="18" customFormat="1" ht="6.95" customHeight="1" thickBot="1" x14ac:dyDescent="0.25">
      <c r="A56" s="10"/>
      <c r="B56" s="17"/>
      <c r="C56" s="17"/>
      <c r="D56" s="17"/>
      <c r="E56" s="17"/>
      <c r="F56" s="17"/>
      <c r="G56" s="17"/>
      <c r="H56" s="17"/>
      <c r="I56" s="17"/>
      <c r="J56" s="17"/>
      <c r="K56" s="17"/>
      <c r="L56" s="17"/>
      <c r="M56" s="17"/>
      <c r="O56" s="46"/>
    </row>
    <row r="57" spans="1:17" s="18" customFormat="1" ht="15" x14ac:dyDescent="0.25">
      <c r="A57" s="161" t="s">
        <v>75</v>
      </c>
      <c r="B57" s="162"/>
      <c r="C57" s="162"/>
      <c r="D57" s="162"/>
      <c r="E57" s="162"/>
      <c r="F57" s="162"/>
      <c r="G57" s="162"/>
      <c r="H57" s="162"/>
      <c r="I57" s="162"/>
      <c r="J57" s="162"/>
      <c r="K57" s="162"/>
      <c r="L57" s="162"/>
      <c r="M57" s="163"/>
      <c r="O57" s="46"/>
    </row>
    <row r="58" spans="1:17" s="29" customFormat="1" x14ac:dyDescent="0.2">
      <c r="A58" s="30" t="s">
        <v>202</v>
      </c>
      <c r="B58" s="27">
        <f t="shared" ref="B58:M58" si="23">B18-B55</f>
        <v>1940</v>
      </c>
      <c r="C58" s="27">
        <f t="shared" si="23"/>
        <v>-3873.1290625000001</v>
      </c>
      <c r="D58" s="27">
        <f t="shared" si="23"/>
        <v>134.47687500000029</v>
      </c>
      <c r="E58" s="27">
        <f t="shared" si="23"/>
        <v>-569.05218749999949</v>
      </c>
      <c r="F58" s="27">
        <f t="shared" si="23"/>
        <v>3137.3021250000002</v>
      </c>
      <c r="G58" s="27">
        <f t="shared" si="23"/>
        <v>3524.0812500000011</v>
      </c>
      <c r="H58" s="27">
        <f t="shared" si="23"/>
        <v>1611.2911250000016</v>
      </c>
      <c r="I58" s="27">
        <f t="shared" si="23"/>
        <v>7477.9898750000029</v>
      </c>
      <c r="J58" s="27">
        <f t="shared" si="23"/>
        <v>5131.1075000000019</v>
      </c>
      <c r="K58" s="27">
        <f t="shared" si="23"/>
        <v>5259.2558750000026</v>
      </c>
      <c r="L58" s="27">
        <f t="shared" si="23"/>
        <v>7080.1898750000037</v>
      </c>
      <c r="M58" s="28">
        <f t="shared" si="23"/>
        <v>5495.3075000000026</v>
      </c>
      <c r="O58" s="52"/>
    </row>
    <row r="59" spans="1:17" ht="13.5" thickBot="1" x14ac:dyDescent="0.25">
      <c r="A59" s="23" t="s">
        <v>201</v>
      </c>
      <c r="B59" s="24">
        <f t="shared" ref="B59:M59" si="24">B4+B58</f>
        <v>1940</v>
      </c>
      <c r="C59" s="24">
        <f t="shared" si="24"/>
        <v>-1933.1290625000001</v>
      </c>
      <c r="D59" s="24">
        <f t="shared" si="24"/>
        <v>-1798.6521874999999</v>
      </c>
      <c r="E59" s="24">
        <f t="shared" si="24"/>
        <v>-2367.7043749999993</v>
      </c>
      <c r="F59" s="24">
        <f t="shared" si="24"/>
        <v>769.59775000000081</v>
      </c>
      <c r="G59" s="24">
        <f t="shared" si="24"/>
        <v>4293.6790000000019</v>
      </c>
      <c r="H59" s="24">
        <f t="shared" si="24"/>
        <v>5904.9701250000035</v>
      </c>
      <c r="I59" s="24">
        <f t="shared" si="24"/>
        <v>13382.960000000006</v>
      </c>
      <c r="J59" s="24">
        <f t="shared" si="24"/>
        <v>18514.067500000008</v>
      </c>
      <c r="K59" s="24">
        <f t="shared" si="24"/>
        <v>23773.323375000011</v>
      </c>
      <c r="L59" s="24">
        <f t="shared" si="24"/>
        <v>30853.513250000015</v>
      </c>
      <c r="M59" s="25">
        <f t="shared" si="24"/>
        <v>36348.820750000014</v>
      </c>
    </row>
    <row r="60" spans="1:17" ht="13.5" thickBot="1" x14ac:dyDescent="0.25"/>
    <row r="61" spans="1:17" s="46" customFormat="1" ht="15" x14ac:dyDescent="0.25">
      <c r="A61" s="55" t="s">
        <v>82</v>
      </c>
      <c r="B61" s="56"/>
      <c r="C61" s="56"/>
      <c r="D61" s="56"/>
      <c r="E61" s="56"/>
      <c r="F61" s="56"/>
      <c r="G61" s="56"/>
      <c r="H61" s="56"/>
      <c r="I61" s="56"/>
      <c r="J61" s="56"/>
      <c r="K61" s="56"/>
      <c r="L61" s="56"/>
      <c r="M61" s="57"/>
      <c r="O61" s="53"/>
    </row>
    <row r="62" spans="1:17" s="46" customFormat="1" x14ac:dyDescent="0.2">
      <c r="A62" s="40" t="s">
        <v>85</v>
      </c>
      <c r="B62" s="41">
        <f>B7-(B7/1.1)</f>
        <v>0</v>
      </c>
      <c r="C62" s="41">
        <f>C7-(C7/1.1)</f>
        <v>0</v>
      </c>
      <c r="D62" s="41">
        <f>(D8-(D8/1.1))+(D10-(D10/1.2))</f>
        <v>406.21875000000034</v>
      </c>
      <c r="E62" s="41">
        <f t="shared" ref="E62:M62" si="25">(E8-(E8/1.1))+(E10-(E10/1.2))</f>
        <v>406.21875000000034</v>
      </c>
      <c r="F62" s="41">
        <f t="shared" si="25"/>
        <v>812.43750000000068</v>
      </c>
      <c r="G62" s="41">
        <f t="shared" si="25"/>
        <v>974.36500000000126</v>
      </c>
      <c r="H62" s="41">
        <f t="shared" si="25"/>
        <v>1299.6200000000003</v>
      </c>
      <c r="I62" s="41">
        <f t="shared" si="25"/>
        <v>1786.8025000000002</v>
      </c>
      <c r="J62" s="41">
        <f t="shared" si="25"/>
        <v>1623.4750000000015</v>
      </c>
      <c r="K62" s="41">
        <f t="shared" si="25"/>
        <v>1624.1750000000015</v>
      </c>
      <c r="L62" s="41">
        <f t="shared" si="25"/>
        <v>1786.8025000000002</v>
      </c>
      <c r="M62" s="42">
        <f t="shared" si="25"/>
        <v>1624.1750000000015</v>
      </c>
      <c r="O62" s="50">
        <f>SUM(B62:M62)</f>
        <v>12344.290000000006</v>
      </c>
    </row>
    <row r="63" spans="1:17" s="46" customFormat="1" x14ac:dyDescent="0.2">
      <c r="A63" s="40" t="s">
        <v>83</v>
      </c>
      <c r="B63" s="41">
        <f>((B23+B25+B26+B27+B28+B29+B30+B31+B32+B33+B34+B35+B36+B37+B38+B39+B50)-((B23+B25+B26+B27+B28+B29+B30+B31+B32+B33+B34+B35+B36+B37+B38+B39+B50)/1.2))+((B22)-(B22/1.05))</f>
        <v>8010</v>
      </c>
      <c r="C63" s="41">
        <f>((C23+C25+C26+C27+C28+C29+C30+C31+C32+C33+C34+C35+C36+C37+C38+C39+C50)-((C23+C25+C26+C27+C28+C29+C30+C31+C32+C33+C34+C35+C36+C37+C38+C39+C50)/1.2))+((C22)-(C22/1.05))</f>
        <v>496.33947916666648</v>
      </c>
      <c r="D63" s="41">
        <f t="shared" ref="D63:M63" si="26">((D23+D25+D26+D27+D28+D29+D30+D31+D32+D33+D34+D35+D36+D37+D38+D39+D50)-((D23+D25+D26+D27+D28+D29+D30+D31+D32+D33+D34+D35+D36+D37+D38+D39+D50)/1.2))+((D22)-(D22/1.05))</f>
        <v>566.13953124999989</v>
      </c>
      <c r="E63" s="41">
        <f t="shared" si="26"/>
        <v>534.21234374999995</v>
      </c>
      <c r="F63" s="41">
        <f t="shared" si="26"/>
        <v>594.54818750000004</v>
      </c>
      <c r="G63" s="41">
        <f t="shared" si="26"/>
        <v>705.27312499999971</v>
      </c>
      <c r="H63" s="41">
        <f t="shared" si="26"/>
        <v>828.85387499999979</v>
      </c>
      <c r="I63" s="41">
        <f t="shared" si="26"/>
        <v>795.74481249999963</v>
      </c>
      <c r="J63" s="41">
        <f t="shared" si="26"/>
        <v>890.95812499999965</v>
      </c>
      <c r="K63" s="41">
        <f t="shared" si="26"/>
        <v>810.62725</v>
      </c>
      <c r="L63" s="41">
        <f t="shared" si="26"/>
        <v>862.04481249999981</v>
      </c>
      <c r="M63" s="42">
        <f t="shared" si="26"/>
        <v>830.95812499999965</v>
      </c>
      <c r="O63" s="50">
        <f t="shared" ref="O63" si="27">SUM(B63:M63)</f>
        <v>15925.699666666664</v>
      </c>
    </row>
    <row r="64" spans="1:17" s="46" customFormat="1" ht="13.5" thickBot="1" x14ac:dyDescent="0.25">
      <c r="A64" s="43" t="s">
        <v>87</v>
      </c>
      <c r="B64" s="44">
        <f>B62-B63</f>
        <v>-8010</v>
      </c>
      <c r="C64" s="44">
        <f t="shared" ref="C64:M64" si="28">C62-C63</f>
        <v>-496.33947916666648</v>
      </c>
      <c r="D64" s="44">
        <f t="shared" si="28"/>
        <v>-159.92078124999955</v>
      </c>
      <c r="E64" s="44">
        <f>E62-E63</f>
        <v>-127.9935937499996</v>
      </c>
      <c r="F64" s="44">
        <f t="shared" si="28"/>
        <v>217.88931250000064</v>
      </c>
      <c r="G64" s="44">
        <f t="shared" si="28"/>
        <v>269.09187500000155</v>
      </c>
      <c r="H64" s="44">
        <f t="shared" si="28"/>
        <v>470.76612500000056</v>
      </c>
      <c r="I64" s="44">
        <f t="shared" si="28"/>
        <v>991.05768750000061</v>
      </c>
      <c r="J64" s="44">
        <f t="shared" si="28"/>
        <v>732.51687500000185</v>
      </c>
      <c r="K64" s="44">
        <f t="shared" si="28"/>
        <v>813.54775000000154</v>
      </c>
      <c r="L64" s="44">
        <f t="shared" si="28"/>
        <v>924.75768750000043</v>
      </c>
      <c r="M64" s="45">
        <f t="shared" si="28"/>
        <v>793.21687500000189</v>
      </c>
      <c r="O64" s="54">
        <f>SUM(B64:M64)</f>
        <v>-3581.4096666666555</v>
      </c>
      <c r="Q64" s="47"/>
    </row>
    <row r="65" spans="1:13" s="46" customFormat="1" x14ac:dyDescent="0.2">
      <c r="A65" s="115" t="s">
        <v>203</v>
      </c>
    </row>
    <row r="66" spans="1:13" s="46" customFormat="1" x14ac:dyDescent="0.2">
      <c r="A66" s="115" t="s">
        <v>204</v>
      </c>
    </row>
    <row r="67" spans="1:13" x14ac:dyDescent="0.2">
      <c r="A67" s="46"/>
      <c r="B67" s="46"/>
      <c r="C67" s="46"/>
      <c r="D67" s="46"/>
      <c r="E67" s="46"/>
      <c r="F67" s="46"/>
      <c r="G67" s="46"/>
      <c r="H67" s="46"/>
      <c r="I67" s="46"/>
      <c r="J67" s="46"/>
      <c r="K67" s="46"/>
      <c r="L67" s="46"/>
      <c r="M67" s="46"/>
    </row>
  </sheetData>
  <mergeCells count="6">
    <mergeCell ref="A57:M57"/>
    <mergeCell ref="A1:O1"/>
    <mergeCell ref="A2:O2"/>
    <mergeCell ref="B19:M19"/>
    <mergeCell ref="A6:M6"/>
    <mergeCell ref="A20:M20"/>
  </mergeCells>
  <phoneticPr fontId="6" type="noConversion"/>
  <pageMargins left="0.7" right="0.7" top="0.75" bottom="0.75" header="0.3" footer="0.3"/>
  <pageSetup paperSize="9" scale="57" orientation="landscape" r:id="rId1"/>
  <ignoredErrors>
    <ignoredError sqref="I33 L33 L8 L10"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6</vt:i4>
      </vt:variant>
    </vt:vector>
  </HeadingPairs>
  <TitlesOfParts>
    <vt:vector size="12" baseType="lpstr">
      <vt:lpstr>Par où commencer </vt:lpstr>
      <vt:lpstr>Compte exploitation</vt:lpstr>
      <vt:lpstr>Compte d'exploitation 3 ans</vt:lpstr>
      <vt:lpstr>Plan de financement </vt:lpstr>
      <vt:lpstr>Calcul du CA prévisionnel</vt:lpstr>
      <vt:lpstr>Plan de trésorerie</vt:lpstr>
      <vt:lpstr>'Calcul du CA prévisionnel'!Zone_d_impression</vt:lpstr>
      <vt:lpstr>'Compte d''exploitation 3 ans'!Zone_d_impression</vt:lpstr>
      <vt:lpstr>'Compte exploitation'!Zone_d_impression</vt:lpstr>
      <vt:lpstr>'Par où commencer '!Zone_d_impression</vt:lpstr>
      <vt:lpstr>'Plan de financement '!Zone_d_impression</vt:lpstr>
      <vt:lpstr>'Plan de trésorerie'!Zone_d_impression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Anne-Sophie POUPIN</dc:creator>
  <cp:lastModifiedBy>Léa Boisset</cp:lastModifiedBy>
  <cp:lastPrinted>2022-01-30T18:19:56Z</cp:lastPrinted>
  <dcterms:created xsi:type="dcterms:W3CDTF">2021-06-07T10:40:47Z</dcterms:created>
  <dcterms:modified xsi:type="dcterms:W3CDTF">2022-02-01T09:16:24Z</dcterms:modified>
</cp:coreProperties>
</file>