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720" windowHeight="6990" tabRatio="489"/>
  </bookViews>
  <sheets>
    <sheet name="Feuil1" sheetId="1" r:id="rId1"/>
    <sheet name="Feuil2" sheetId="2" r:id="rId2"/>
    <sheet name="Feuil3" sheetId="3" r:id="rId3"/>
    <sheet name="Feuil4" sheetId="4" r:id="rId4"/>
    <sheet name="Feuil5" sheetId="5" r:id="rId5"/>
    <sheet name="Feuil6" sheetId="6" r:id="rId6"/>
    <sheet name="Feuil7" sheetId="7" r:id="rId7"/>
    <sheet name="Feuil8" sheetId="8" r:id="rId8"/>
    <sheet name="Feuil9" sheetId="9" r:id="rId9"/>
    <sheet name="Feuil10" sheetId="10" r:id="rId10"/>
    <sheet name="Feuil11" sheetId="11" r:id="rId11"/>
    <sheet name="Feuil12" sheetId="12" r:id="rId12"/>
    <sheet name="Feuil13" sheetId="13" r:id="rId13"/>
    <sheet name="Feuil14" sheetId="14" r:id="rId14"/>
    <sheet name="Feuil15" sheetId="15" r:id="rId15"/>
    <sheet name="Feuil16" sheetId="16" r:id="rId16"/>
  </sheets>
  <externalReferences>
    <externalReference r:id="rId17"/>
  </externalReferences>
  <definedNames>
    <definedName name="_xlnm.Print_Area" localSheetId="0">Feuil1!$C$6:$R$88</definedName>
  </definedNames>
  <calcPr calcId="145621"/>
</workbook>
</file>

<file path=xl/calcChain.xml><?xml version="1.0" encoding="utf-8"?>
<calcChain xmlns="http://schemas.openxmlformats.org/spreadsheetml/2006/main">
  <c r="R70" i="1" l="1"/>
  <c r="E35" i="1"/>
  <c r="R71" i="1" s="1"/>
  <c r="Q70" i="1"/>
  <c r="Q71" i="1"/>
  <c r="P70" i="1"/>
  <c r="O70" i="1"/>
  <c r="O71" i="1"/>
  <c r="N70" i="1"/>
  <c r="M70" i="1"/>
  <c r="M71" i="1"/>
  <c r="L70" i="1"/>
  <c r="K70" i="1"/>
  <c r="K71" i="1"/>
  <c r="J70" i="1"/>
  <c r="I70" i="1"/>
  <c r="I71" i="1"/>
  <c r="H70" i="1"/>
  <c r="G70" i="1"/>
  <c r="G71" i="1"/>
  <c r="F70" i="1"/>
  <c r="F80" i="1" s="1"/>
  <c r="F71" i="1"/>
  <c r="E70" i="1"/>
  <c r="E71" i="1"/>
  <c r="D70" i="1"/>
  <c r="D80" i="1" s="1"/>
  <c r="D71" i="1"/>
  <c r="D93" i="1"/>
  <c r="D81" i="1"/>
  <c r="E81" i="1"/>
  <c r="E80" i="1"/>
  <c r="F81" i="1"/>
  <c r="G81" i="1"/>
  <c r="G80" i="1"/>
  <c r="H81" i="1"/>
  <c r="H80" i="1"/>
  <c r="I81" i="1"/>
  <c r="I80" i="1"/>
  <c r="J81" i="1"/>
  <c r="J80" i="1"/>
  <c r="K81" i="1"/>
  <c r="K80" i="1"/>
  <c r="L81" i="1"/>
  <c r="L80" i="1"/>
  <c r="M81" i="1"/>
  <c r="M80" i="1"/>
  <c r="N81" i="1"/>
  <c r="N80" i="1"/>
  <c r="O81" i="1"/>
  <c r="O80" i="1"/>
  <c r="P81" i="1"/>
  <c r="P80" i="1"/>
  <c r="Q81" i="1"/>
  <c r="Q80" i="1"/>
  <c r="R81" i="1"/>
  <c r="R80" i="1"/>
  <c r="E45" i="1"/>
  <c r="E39" i="1"/>
  <c r="R99" i="1"/>
  <c r="E20" i="1"/>
  <c r="E23" i="1" s="1"/>
  <c r="E28" i="1" s="1"/>
  <c r="E41" i="1"/>
  <c r="R85" i="1"/>
  <c r="Q85" i="1"/>
  <c r="P85" i="1"/>
  <c r="O85" i="1"/>
  <c r="N85" i="1"/>
  <c r="M85" i="1"/>
  <c r="L85" i="1"/>
  <c r="K85" i="1"/>
  <c r="J85" i="1"/>
  <c r="I85" i="1"/>
  <c r="H84" i="1"/>
  <c r="G84" i="1"/>
  <c r="F84" i="1"/>
  <c r="E84" i="1"/>
  <c r="D84" i="1"/>
  <c r="E92" i="1"/>
  <c r="F92" i="1"/>
  <c r="G92" i="1" s="1"/>
  <c r="H92" i="1" s="1"/>
  <c r="I92" i="1" s="1"/>
  <c r="J92" i="1" s="1"/>
  <c r="K92" i="1" s="1"/>
  <c r="L92" i="1" s="1"/>
  <c r="M92" i="1" s="1"/>
  <c r="N92" i="1" s="1"/>
  <c r="O92" i="1" s="1"/>
  <c r="P92" i="1" s="1"/>
  <c r="Q92" i="1" s="1"/>
  <c r="R92" i="1" s="1"/>
  <c r="E66" i="1"/>
  <c r="F66" i="1"/>
  <c r="G66" i="1" s="1"/>
  <c r="H66" i="1" s="1"/>
  <c r="I66" i="1" s="1"/>
  <c r="J66" i="1" s="1"/>
  <c r="K66" i="1" s="1"/>
  <c r="L66" i="1" s="1"/>
  <c r="M66" i="1" s="1"/>
  <c r="N66" i="1" s="1"/>
  <c r="O66" i="1" s="1"/>
  <c r="P66" i="1" s="1"/>
  <c r="Q66" i="1" s="1"/>
  <c r="R66" i="1" s="1"/>
  <c r="E53" i="1"/>
  <c r="F53" i="1" s="1"/>
  <c r="G53" i="1"/>
  <c r="H53" i="1" s="1"/>
  <c r="I53" i="1" s="1"/>
  <c r="J53" i="1" s="1"/>
  <c r="K53" i="1" s="1"/>
  <c r="L53" i="1" s="1"/>
  <c r="M53" i="1" s="1"/>
  <c r="N53" i="1" s="1"/>
  <c r="O53" i="1" s="1"/>
  <c r="P53" i="1" s="1"/>
  <c r="Q53" i="1" s="1"/>
  <c r="R53" i="1" s="1"/>
  <c r="S84" i="1"/>
  <c r="S86" i="1"/>
  <c r="S85" i="1"/>
  <c r="E29" i="1"/>
  <c r="R54" i="1"/>
  <c r="R56" i="1"/>
  <c r="R55" i="1"/>
  <c r="Q54" i="1"/>
  <c r="Q56" i="1"/>
  <c r="Q55" i="1" s="1"/>
  <c r="S81" i="1"/>
  <c r="D54" i="1"/>
  <c r="D56" i="1"/>
  <c r="D55" i="1"/>
  <c r="E54" i="1"/>
  <c r="E56" i="1"/>
  <c r="E55" i="1" s="1"/>
  <c r="F54" i="1"/>
  <c r="F56" i="1"/>
  <c r="F55" i="1"/>
  <c r="G54" i="1"/>
  <c r="G56" i="1"/>
  <c r="G55" i="1" s="1"/>
  <c r="H54" i="1"/>
  <c r="I54" i="1"/>
  <c r="I56" i="1"/>
  <c r="I55" i="1" s="1"/>
  <c r="J54" i="1"/>
  <c r="K54" i="1"/>
  <c r="K56" i="1"/>
  <c r="K55" i="1" s="1"/>
  <c r="L54" i="1"/>
  <c r="M54" i="1"/>
  <c r="M56" i="1"/>
  <c r="M55" i="1" s="1"/>
  <c r="N54" i="1"/>
  <c r="O54" i="1"/>
  <c r="O56" i="1"/>
  <c r="O55" i="1" s="1"/>
  <c r="P54" i="1"/>
  <c r="D69" i="1" l="1"/>
  <c r="E42" i="1"/>
  <c r="H71" i="1"/>
  <c r="J71" i="1"/>
  <c r="J56" i="1" s="1"/>
  <c r="J55" i="1" s="1"/>
  <c r="L71" i="1"/>
  <c r="L56" i="1" s="1"/>
  <c r="L55" i="1" s="1"/>
  <c r="N71" i="1"/>
  <c r="N56" i="1" s="1"/>
  <c r="N55" i="1" s="1"/>
  <c r="P71" i="1"/>
  <c r="P56" i="1" s="1"/>
  <c r="P55" i="1" s="1"/>
  <c r="S71" i="1" l="1"/>
  <c r="H56" i="1"/>
  <c r="H55" i="1" s="1"/>
  <c r="D73" i="1"/>
  <c r="D79" i="1"/>
  <c r="E69" i="1"/>
  <c r="D82" i="1" l="1"/>
  <c r="F69" i="1"/>
  <c r="E79" i="1"/>
  <c r="E73" i="1"/>
  <c r="E82" i="1" l="1"/>
  <c r="E87" i="1" s="1"/>
  <c r="E74" i="1" s="1"/>
  <c r="E75" i="1" s="1"/>
  <c r="E94" i="1" s="1"/>
  <c r="E100" i="1" s="1"/>
  <c r="F73" i="1"/>
  <c r="G69" i="1"/>
  <c r="F79" i="1"/>
  <c r="D87" i="1"/>
  <c r="D74" i="1" s="1"/>
  <c r="D75" i="1" s="1"/>
  <c r="D94" i="1" s="1"/>
  <c r="D100" i="1" s="1"/>
  <c r="H69" i="1" l="1"/>
  <c r="G79" i="1"/>
  <c r="G73" i="1"/>
  <c r="F82" i="1"/>
  <c r="F87" i="1" s="1"/>
  <c r="F74" i="1" s="1"/>
  <c r="F75" i="1" s="1"/>
  <c r="F94" i="1" s="1"/>
  <c r="F100" i="1" s="1"/>
  <c r="H73" i="1" l="1"/>
  <c r="H79" i="1"/>
  <c r="I69" i="1"/>
  <c r="G82" i="1"/>
  <c r="H82" i="1" l="1"/>
  <c r="H87" i="1" s="1"/>
  <c r="H74" i="1" s="1"/>
  <c r="H75" i="1" s="1"/>
  <c r="H94" i="1" s="1"/>
  <c r="H100" i="1" s="1"/>
  <c r="G87" i="1"/>
  <c r="G74" i="1" s="1"/>
  <c r="G75" i="1" s="1"/>
  <c r="G94" i="1" s="1"/>
  <c r="G100" i="1" s="1"/>
  <c r="J69" i="1"/>
  <c r="I79" i="1"/>
  <c r="I73" i="1"/>
  <c r="I87" i="1" l="1"/>
  <c r="I74" i="1" s="1"/>
  <c r="I75" i="1" s="1"/>
  <c r="I94" i="1" s="1"/>
  <c r="I100" i="1" s="1"/>
  <c r="I82" i="1"/>
  <c r="J73" i="1"/>
  <c r="K69" i="1"/>
  <c r="J79" i="1"/>
  <c r="L69" i="1" l="1"/>
  <c r="K79" i="1"/>
  <c r="K73" i="1"/>
  <c r="J87" i="1"/>
  <c r="J74" i="1" s="1"/>
  <c r="J82" i="1"/>
  <c r="J75" i="1"/>
  <c r="J94" i="1" s="1"/>
  <c r="J100" i="1" s="1"/>
  <c r="K82" i="1" l="1"/>
  <c r="K87" i="1" s="1"/>
  <c r="K74" i="1" s="1"/>
  <c r="K75" i="1" s="1"/>
  <c r="K94" i="1" s="1"/>
  <c r="K100" i="1" s="1"/>
  <c r="L73" i="1"/>
  <c r="L79" i="1"/>
  <c r="M69" i="1"/>
  <c r="N69" i="1" l="1"/>
  <c r="M79" i="1"/>
  <c r="M73" i="1"/>
  <c r="L82" i="1"/>
  <c r="L87" i="1" s="1"/>
  <c r="L74" i="1" s="1"/>
  <c r="L75" i="1" s="1"/>
  <c r="L94" i="1" s="1"/>
  <c r="L100" i="1" s="1"/>
  <c r="M82" i="1" l="1"/>
  <c r="M87" i="1" s="1"/>
  <c r="M74" i="1" s="1"/>
  <c r="M75" i="1" s="1"/>
  <c r="M94" i="1" s="1"/>
  <c r="M100" i="1" s="1"/>
  <c r="N73" i="1"/>
  <c r="O69" i="1"/>
  <c r="N79" i="1"/>
  <c r="N82" i="1" l="1"/>
  <c r="N87" i="1" s="1"/>
  <c r="N74" i="1" s="1"/>
  <c r="N75" i="1" s="1"/>
  <c r="N94" i="1" s="1"/>
  <c r="N100" i="1" s="1"/>
  <c r="P69" i="1"/>
  <c r="O79" i="1"/>
  <c r="O73" i="1"/>
  <c r="P73" i="1" l="1"/>
  <c r="P79" i="1"/>
  <c r="Q69" i="1"/>
  <c r="O82" i="1"/>
  <c r="O87" i="1" s="1"/>
  <c r="O74" i="1" s="1"/>
  <c r="O75" i="1" s="1"/>
  <c r="O94" i="1" s="1"/>
  <c r="O100" i="1" s="1"/>
  <c r="R69" i="1" l="1"/>
  <c r="Q79" i="1"/>
  <c r="Q73" i="1"/>
  <c r="P82" i="1"/>
  <c r="P87" i="1" s="1"/>
  <c r="P74" i="1" s="1"/>
  <c r="P75" i="1" s="1"/>
  <c r="P94" i="1" s="1"/>
  <c r="P100" i="1" s="1"/>
  <c r="Q82" i="1" l="1"/>
  <c r="Q87" i="1" s="1"/>
  <c r="Q74" i="1" s="1"/>
  <c r="Q75" i="1" s="1"/>
  <c r="Q94" i="1" s="1"/>
  <c r="Q100" i="1" s="1"/>
  <c r="R73" i="1"/>
  <c r="R79" i="1"/>
  <c r="R87" i="1" l="1"/>
  <c r="R74" i="1" s="1"/>
  <c r="R75" i="1" s="1"/>
  <c r="R94" i="1" s="1"/>
  <c r="R100" i="1" s="1"/>
  <c r="D102" i="1" s="1"/>
  <c r="R82" i="1"/>
  <c r="S82" i="1" s="1"/>
</calcChain>
</file>

<file path=xl/sharedStrings.xml><?xml version="1.0" encoding="utf-8"?>
<sst xmlns="http://schemas.openxmlformats.org/spreadsheetml/2006/main" count="60" uniqueCount="58">
  <si>
    <t>La SCI achète :</t>
  </si>
  <si>
    <t>Soit un budget total de</t>
  </si>
  <si>
    <t>La SCI contracte un emprunt pour le solde</t>
  </si>
  <si>
    <t>Soit un financement total de</t>
  </si>
  <si>
    <t xml:space="preserve">Caractéristiques de l'emprunt </t>
  </si>
  <si>
    <t>Durée en années</t>
  </si>
  <si>
    <t>remboursement mensuel constant</t>
  </si>
  <si>
    <t>Tableau de remboursement de l'emprunt</t>
  </si>
  <si>
    <t>Années</t>
  </si>
  <si>
    <t>Intérêts</t>
  </si>
  <si>
    <t>Capital</t>
  </si>
  <si>
    <t>Décaissement total</t>
  </si>
  <si>
    <t>En trésorerie</t>
  </si>
  <si>
    <t>Loyers</t>
  </si>
  <si>
    <t xml:space="preserve">Charges </t>
  </si>
  <si>
    <t>Emprunt</t>
  </si>
  <si>
    <t>En résultat</t>
  </si>
  <si>
    <t>Charges</t>
  </si>
  <si>
    <t>Intérêts sur emprunt</t>
  </si>
  <si>
    <t>Résultat net ©</t>
  </si>
  <si>
    <t xml:space="preserve">  - et devra payer les frais notariés</t>
  </si>
  <si>
    <t xml:space="preserve">Les associés apportent en numéraire </t>
  </si>
  <si>
    <t>Caractéristiques de l'appartement</t>
  </si>
  <si>
    <t>Déduction forfaitaire de 14 %</t>
  </si>
  <si>
    <t xml:space="preserve">Amortissement de Robien de 8 % </t>
  </si>
  <si>
    <t xml:space="preserve">Amortissement de Robien de 2,5 % </t>
  </si>
  <si>
    <t xml:space="preserve">  - un appartement TTC</t>
  </si>
  <si>
    <t>Loyer</t>
  </si>
  <si>
    <t>Syndic annuel</t>
  </si>
  <si>
    <t>Taxe foncière annuelle</t>
  </si>
  <si>
    <t>(exonération les deux premières années)</t>
  </si>
  <si>
    <t xml:space="preserve">  - Loyer mensuel</t>
  </si>
  <si>
    <t xml:space="preserve">  - loyer annuel</t>
  </si>
  <si>
    <t xml:space="preserve">  - taux de rendement</t>
  </si>
  <si>
    <t xml:space="preserve">  - Indice construction</t>
  </si>
  <si>
    <r>
      <t>Trésorerie annuelle</t>
    </r>
    <r>
      <rPr>
        <sz val="10"/>
        <rFont val="Arial"/>
      </rPr>
      <t xml:space="preserve"> </t>
    </r>
  </si>
  <si>
    <t xml:space="preserve">Loyers </t>
  </si>
  <si>
    <t>Economie IR sur RF positifs</t>
  </si>
  <si>
    <t>Net</t>
  </si>
  <si>
    <t>Déduction forfaitaire de 6 %</t>
  </si>
  <si>
    <t>taux d'intérêt et ADI</t>
  </si>
  <si>
    <r>
      <t xml:space="preserve">  - Loyer au m</t>
    </r>
    <r>
      <rPr>
        <vertAlign val="superscript"/>
        <sz val="10"/>
        <rFont val="Arial"/>
        <family val="2"/>
      </rPr>
      <t>2</t>
    </r>
  </si>
  <si>
    <t xml:space="preserve">Plan de financement et compte de résultat prévisionnels </t>
  </si>
  <si>
    <r>
      <t>Besoins de financement de la SCI</t>
    </r>
    <r>
      <rPr>
        <sz val="10"/>
        <rFont val="Arial"/>
      </rPr>
      <t xml:space="preserve"> ( en K, €)</t>
    </r>
  </si>
  <si>
    <r>
      <t xml:space="preserve">Mode de financement de la SCI </t>
    </r>
    <r>
      <rPr>
        <sz val="10"/>
        <rFont val="Arial"/>
      </rPr>
      <t>(en K €)</t>
    </r>
  </si>
  <si>
    <t>TRI</t>
  </si>
  <si>
    <t>Capital début</t>
  </si>
  <si>
    <t>Trésorerie du montage</t>
  </si>
  <si>
    <t>Valeur du bien TTC</t>
  </si>
  <si>
    <t>TRI net d'impôt</t>
  </si>
  <si>
    <r>
      <t>Nombre de m</t>
    </r>
    <r>
      <rPr>
        <vertAlign val="superscript"/>
        <sz val="10"/>
        <rFont val="Arial"/>
        <family val="2"/>
      </rPr>
      <t>2</t>
    </r>
  </si>
  <si>
    <r>
      <t>Prix au m</t>
    </r>
    <r>
      <rPr>
        <vertAlign val="superscript"/>
        <sz val="10"/>
        <rFont val="Arial"/>
        <family val="2"/>
      </rPr>
      <t>2</t>
    </r>
  </si>
  <si>
    <t>Taux marginal d'imposition (TMI)</t>
  </si>
  <si>
    <t xml:space="preserve">Le plan de financement, le compte de résultat prévisionnel </t>
  </si>
  <si>
    <t xml:space="preserve">Attention ! Il s’agit d’une simple feuille de calcul Excel et non d’une application informatique sécurisée. </t>
  </si>
  <si>
    <t>Vous devez donc valider les chiffres saisis.</t>
  </si>
  <si>
    <t>et le taux de rentabilité interne d’un investissement de Robien</t>
  </si>
  <si>
    <t xml:space="preserve">Prêt constant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</si>
</sst>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4" formatCode="0.0%"/>
    <numFmt numFmtId="175" formatCode="#,##0\ &quot;€&quot;"/>
    <numFmt numFmtId="179" formatCode="#,##0.00\ &quot;€&quot;"/>
    <numFmt numFmtId="180" formatCode="#,##0.0\ &quot;€&quot;"/>
  </numFmts>
  <fonts count="14" x14ac:knownFonts="1"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</font>
    <font>
      <vertAlign val="superscript"/>
      <sz val="10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  <font>
      <b/>
      <sz val="12"/>
      <color indexed="10"/>
      <name val="Times New Roman"/>
      <family val="1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lightGray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5" fillId="0" borderId="0" xfId="0" applyFont="1"/>
    <xf numFmtId="3" fontId="0" fillId="0" borderId="0" xfId="0" applyNumberFormat="1"/>
    <xf numFmtId="1" fontId="0" fillId="0" borderId="0" xfId="0" applyNumberFormat="1"/>
    <xf numFmtId="175" fontId="0" fillId="0" borderId="0" xfId="0" applyNumberFormat="1"/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1" fillId="0" borderId="4" xfId="0" applyNumberFormat="1" applyFont="1" applyBorder="1"/>
    <xf numFmtId="179" fontId="0" fillId="0" borderId="0" xfId="0" applyNumberFormat="1"/>
    <xf numFmtId="1" fontId="6" fillId="0" borderId="1" xfId="0" applyNumberFormat="1" applyFont="1" applyBorder="1"/>
    <xf numFmtId="175" fontId="5" fillId="0" borderId="0" xfId="0" applyNumberFormat="1" applyFont="1"/>
    <xf numFmtId="175" fontId="1" fillId="2" borderId="5" xfId="0" applyNumberFormat="1" applyFont="1" applyFill="1" applyBorder="1"/>
    <xf numFmtId="175" fontId="0" fillId="2" borderId="6" xfId="0" applyNumberFormat="1" applyFill="1" applyBorder="1"/>
    <xf numFmtId="175" fontId="0" fillId="2" borderId="7" xfId="0" applyNumberFormat="1" applyFill="1" applyBorder="1"/>
    <xf numFmtId="175" fontId="0" fillId="0" borderId="8" xfId="0" applyNumberFormat="1" applyBorder="1"/>
    <xf numFmtId="175" fontId="0" fillId="0" borderId="9" xfId="0" applyNumberFormat="1" applyBorder="1"/>
    <xf numFmtId="175" fontId="2" fillId="0" borderId="2" xfId="0" applyNumberFormat="1" applyFont="1" applyBorder="1" applyAlignment="1">
      <alignment horizontal="center"/>
    </xf>
    <xf numFmtId="175" fontId="4" fillId="0" borderId="10" xfId="0" applyNumberFormat="1" applyFont="1" applyBorder="1"/>
    <xf numFmtId="175" fontId="0" fillId="0" borderId="11" xfId="0" applyNumberFormat="1" applyBorder="1"/>
    <xf numFmtId="175" fontId="0" fillId="0" borderId="1" xfId="0" applyNumberFormat="1" applyBorder="1"/>
    <xf numFmtId="175" fontId="5" fillId="0" borderId="0" xfId="0" applyNumberFormat="1" applyFont="1" applyAlignment="1">
      <alignment horizontal="center"/>
    </xf>
    <xf numFmtId="175" fontId="0" fillId="0" borderId="10" xfId="0" applyNumberFormat="1" applyBorder="1"/>
    <xf numFmtId="175" fontId="0" fillId="0" borderId="2" xfId="0" applyNumberFormat="1" applyBorder="1"/>
    <xf numFmtId="175" fontId="0" fillId="0" borderId="12" xfId="0" applyNumberFormat="1" applyBorder="1"/>
    <xf numFmtId="175" fontId="0" fillId="0" borderId="13" xfId="0" applyNumberFormat="1" applyBorder="1"/>
    <xf numFmtId="175" fontId="0" fillId="0" borderId="3" xfId="0" applyNumberFormat="1" applyBorder="1"/>
    <xf numFmtId="175" fontId="1" fillId="0" borderId="5" xfId="0" applyNumberFormat="1" applyFont="1" applyBorder="1"/>
    <xf numFmtId="175" fontId="0" fillId="0" borderId="7" xfId="0" applyNumberFormat="1" applyBorder="1"/>
    <xf numFmtId="175" fontId="1" fillId="0" borderId="4" xfId="0" applyNumberFormat="1" applyFont="1" applyBorder="1"/>
    <xf numFmtId="175" fontId="2" fillId="0" borderId="0" xfId="0" applyNumberFormat="1" applyFont="1"/>
    <xf numFmtId="175" fontId="1" fillId="0" borderId="0" xfId="0" applyNumberFormat="1" applyFont="1"/>
    <xf numFmtId="175" fontId="6" fillId="0" borderId="0" xfId="0" applyNumberFormat="1" applyFont="1"/>
    <xf numFmtId="175" fontId="0" fillId="0" borderId="0" xfId="0" applyNumberFormat="1" applyAlignment="1">
      <alignment horizontal="center"/>
    </xf>
    <xf numFmtId="175" fontId="7" fillId="0" borderId="0" xfId="0" applyNumberFormat="1" applyFont="1"/>
    <xf numFmtId="174" fontId="0" fillId="0" borderId="0" xfId="0" applyNumberFormat="1"/>
    <xf numFmtId="180" fontId="0" fillId="0" borderId="0" xfId="0" applyNumberFormat="1"/>
    <xf numFmtId="175" fontId="0" fillId="0" borderId="0" xfId="0" applyNumberFormat="1" applyBorder="1"/>
    <xf numFmtId="0" fontId="10" fillId="0" borderId="0" xfId="0" applyFont="1" applyAlignment="1"/>
    <xf numFmtId="0" fontId="4" fillId="0" borderId="0" xfId="0" applyFont="1"/>
    <xf numFmtId="174" fontId="1" fillId="0" borderId="0" xfId="0" applyNumberFormat="1" applyFont="1"/>
    <xf numFmtId="1" fontId="1" fillId="0" borderId="4" xfId="0" applyNumberFormat="1" applyFont="1" applyBorder="1" applyAlignment="1">
      <alignment horizontal="center"/>
    </xf>
    <xf numFmtId="1" fontId="1" fillId="1" borderId="4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4" xfId="0" applyNumberFormat="1" applyBorder="1"/>
    <xf numFmtId="1" fontId="10" fillId="0" borderId="0" xfId="0" applyNumberFormat="1" applyFont="1" applyAlignment="1"/>
    <xf numFmtId="1" fontId="5" fillId="0" borderId="0" xfId="0" applyNumberFormat="1" applyFont="1"/>
    <xf numFmtId="1" fontId="3" fillId="0" borderId="1" xfId="0" applyNumberFormat="1" applyFont="1" applyBorder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0" xfId="0" applyNumberFormat="1" applyFont="1"/>
    <xf numFmtId="1" fontId="1" fillId="0" borderId="3" xfId="0" applyNumberFormat="1" applyFont="1" applyBorder="1"/>
    <xf numFmtId="1" fontId="4" fillId="0" borderId="0" xfId="0" applyNumberFormat="1" applyFont="1"/>
    <xf numFmtId="1" fontId="1" fillId="0" borderId="2" xfId="0" applyNumberFormat="1" applyFont="1" applyBorder="1" applyAlignment="1">
      <alignment horizontal="center"/>
    </xf>
    <xf numFmtId="1" fontId="1" fillId="3" borderId="4" xfId="0" applyNumberFormat="1" applyFont="1" applyFill="1" applyBorder="1" applyAlignment="1">
      <alignment horizontal="center"/>
    </xf>
    <xf numFmtId="1" fontId="4" fillId="0" borderId="2" xfId="0" applyNumberFormat="1" applyFont="1" applyBorder="1"/>
    <xf numFmtId="1" fontId="4" fillId="0" borderId="1" xfId="0" applyNumberFormat="1" applyFont="1" applyBorder="1"/>
    <xf numFmtId="1" fontId="4" fillId="0" borderId="3" xfId="0" applyNumberFormat="1" applyFont="1" applyBorder="1"/>
    <xf numFmtId="1" fontId="4" fillId="0" borderId="4" xfId="0" applyNumberFormat="1" applyFont="1" applyBorder="1"/>
    <xf numFmtId="9" fontId="4" fillId="0" borderId="0" xfId="0" applyNumberFormat="1" applyFont="1" applyBorder="1"/>
    <xf numFmtId="0" fontId="11" fillId="0" borderId="0" xfId="0" applyFont="1"/>
    <xf numFmtId="0" fontId="12" fillId="0" borderId="0" xfId="0" applyFont="1"/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%20Robien%20plan%20fi%20empru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</sheetNames>
    <sheetDataSet>
      <sheetData sheetId="0">
        <row r="15">
          <cell r="G15">
            <v>-659.66336771741067</v>
          </cell>
        </row>
        <row r="35">
          <cell r="I35">
            <v>3550.3491384864428</v>
          </cell>
        </row>
        <row r="49">
          <cell r="I49">
            <v>3367.9569517879577</v>
          </cell>
        </row>
        <row r="61">
          <cell r="I61">
            <v>3177.9445470536043</v>
          </cell>
        </row>
        <row r="73">
          <cell r="I73">
            <v>2979.9935569017262</v>
          </cell>
        </row>
        <row r="85">
          <cell r="I85">
            <v>2773.7723127840527</v>
          </cell>
        </row>
        <row r="97">
          <cell r="I97">
            <v>2558.9352892722627</v>
          </cell>
        </row>
        <row r="109">
          <cell r="I109">
            <v>2335.1225251272244</v>
          </cell>
        </row>
        <row r="121">
          <cell r="I121">
            <v>2101.9590201809115</v>
          </cell>
        </row>
        <row r="133">
          <cell r="I133">
            <v>1859.0541070204658</v>
          </cell>
        </row>
        <row r="145">
          <cell r="I145">
            <v>1606.0007964216704</v>
          </cell>
        </row>
        <row r="157">
          <cell r="I157">
            <v>1342.3750954350746</v>
          </cell>
        </row>
        <row r="169">
          <cell r="I169">
            <v>1067.7352969822466</v>
          </cell>
        </row>
        <row r="181">
          <cell r="I181">
            <v>781.62123977184979</v>
          </cell>
        </row>
        <row r="193">
          <cell r="I193">
            <v>483.55353729552866</v>
          </cell>
        </row>
        <row r="205">
          <cell r="I205">
            <v>173.03277461178516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S102"/>
  <sheetViews>
    <sheetView tabSelected="1" topLeftCell="B71" workbookViewId="0">
      <selection activeCell="U94" sqref="U94"/>
    </sheetView>
  </sheetViews>
  <sheetFormatPr baseColWidth="10" defaultRowHeight="12.75" x14ac:dyDescent="0.2"/>
  <cols>
    <col min="1" max="1" width="11.42578125" style="5"/>
    <col min="2" max="2" width="2.42578125" style="5" customWidth="1"/>
    <col min="3" max="3" width="33.140625" style="5" customWidth="1"/>
    <col min="4" max="8" width="8.28515625" style="5" customWidth="1"/>
    <col min="9" max="12" width="8.28515625" style="5" hidden="1" customWidth="1"/>
    <col min="13" max="13" width="8.28515625" style="5" customWidth="1"/>
    <col min="14" max="16" width="8.28515625" style="5" hidden="1" customWidth="1"/>
    <col min="17" max="18" width="8.28515625" style="5" customWidth="1"/>
    <col min="19" max="19" width="8.5703125" style="5" customWidth="1"/>
    <col min="20" max="16384" width="11.42578125" style="5"/>
  </cols>
  <sheetData>
    <row r="4" spans="3:7" ht="15.75" x14ac:dyDescent="0.25">
      <c r="C4" s="39" t="s">
        <v>53</v>
      </c>
    </row>
    <row r="5" spans="3:7" ht="15.75" x14ac:dyDescent="0.25">
      <c r="C5" s="39" t="s">
        <v>56</v>
      </c>
    </row>
    <row r="6" spans="3:7" x14ac:dyDescent="0.2">
      <c r="C6" s="61" t="s">
        <v>57</v>
      </c>
    </row>
    <row r="7" spans="3:7" x14ac:dyDescent="0.2">
      <c r="C7" s="61"/>
    </row>
    <row r="8" spans="3:7" ht="15.75" x14ac:dyDescent="0.25">
      <c r="C8" s="62" t="s">
        <v>54</v>
      </c>
    </row>
    <row r="9" spans="3:7" x14ac:dyDescent="0.2">
      <c r="C9" s="63" t="s">
        <v>55</v>
      </c>
    </row>
    <row r="10" spans="3:7" x14ac:dyDescent="0.2">
      <c r="C10" s="1"/>
    </row>
    <row r="11" spans="3:7" x14ac:dyDescent="0.2">
      <c r="C11" s="12"/>
    </row>
    <row r="12" spans="3:7" x14ac:dyDescent="0.2">
      <c r="C12" s="12"/>
    </row>
    <row r="14" spans="3:7" x14ac:dyDescent="0.2">
      <c r="C14" s="13" t="s">
        <v>43</v>
      </c>
      <c r="D14" s="14"/>
      <c r="E14" s="15"/>
    </row>
    <row r="15" spans="3:7" x14ac:dyDescent="0.2">
      <c r="C15" s="16"/>
      <c r="D15" s="17"/>
      <c r="E15" s="18"/>
    </row>
    <row r="16" spans="3:7" x14ac:dyDescent="0.2">
      <c r="C16" s="19" t="s">
        <v>0</v>
      </c>
      <c r="D16" s="20"/>
      <c r="E16" s="21"/>
      <c r="F16" s="22"/>
      <c r="G16" s="12"/>
    </row>
    <row r="17" spans="3:6" x14ac:dyDescent="0.2">
      <c r="C17" s="23" t="s">
        <v>26</v>
      </c>
      <c r="D17" s="20"/>
      <c r="E17" s="21">
        <v>86</v>
      </c>
      <c r="F17" s="3"/>
    </row>
    <row r="18" spans="3:6" hidden="1" x14ac:dyDescent="0.2">
      <c r="C18" s="23"/>
      <c r="D18" s="20"/>
      <c r="E18" s="21"/>
    </row>
    <row r="19" spans="3:6" hidden="1" x14ac:dyDescent="0.2">
      <c r="C19" s="23"/>
      <c r="D19" s="20"/>
      <c r="E19" s="24"/>
    </row>
    <row r="20" spans="3:6" x14ac:dyDescent="0.2">
      <c r="C20" s="19" t="s">
        <v>20</v>
      </c>
      <c r="D20" s="20"/>
      <c r="E20" s="21">
        <f>+E17*0.03</f>
        <v>2.58</v>
      </c>
    </row>
    <row r="21" spans="3:6" hidden="1" x14ac:dyDescent="0.2">
      <c r="C21" s="23"/>
      <c r="D21" s="20"/>
      <c r="E21" s="21"/>
    </row>
    <row r="22" spans="3:6" x14ac:dyDescent="0.2">
      <c r="C22" s="25"/>
      <c r="D22" s="26"/>
      <c r="E22" s="27"/>
    </row>
    <row r="23" spans="3:6" x14ac:dyDescent="0.2">
      <c r="C23" s="28" t="s">
        <v>1</v>
      </c>
      <c r="D23" s="29"/>
      <c r="E23" s="30">
        <f>SUM(E15:E22)</f>
        <v>88.58</v>
      </c>
    </row>
    <row r="24" spans="3:6" hidden="1" x14ac:dyDescent="0.2">
      <c r="C24" s="31"/>
    </row>
    <row r="26" spans="3:6" x14ac:dyDescent="0.2">
      <c r="C26" s="13" t="s">
        <v>44</v>
      </c>
      <c r="D26" s="14"/>
      <c r="E26" s="15"/>
    </row>
    <row r="27" spans="3:6" x14ac:dyDescent="0.2">
      <c r="C27" s="16" t="s">
        <v>21</v>
      </c>
      <c r="D27" s="17"/>
      <c r="E27" s="24">
        <v>0</v>
      </c>
    </row>
    <row r="28" spans="3:6" x14ac:dyDescent="0.2">
      <c r="C28" s="25" t="s">
        <v>2</v>
      </c>
      <c r="D28" s="26"/>
      <c r="E28" s="27">
        <f>+E23-E27</f>
        <v>88.58</v>
      </c>
    </row>
    <row r="29" spans="3:6" x14ac:dyDescent="0.2">
      <c r="C29" s="28" t="s">
        <v>3</v>
      </c>
      <c r="D29" s="29"/>
      <c r="E29" s="30">
        <f>+E27+E28</f>
        <v>88.58</v>
      </c>
    </row>
    <row r="32" spans="3:6" x14ac:dyDescent="0.2">
      <c r="C32" s="32" t="s">
        <v>4</v>
      </c>
    </row>
    <row r="33" spans="3:7" x14ac:dyDescent="0.2">
      <c r="C33" s="5" t="s">
        <v>5</v>
      </c>
      <c r="E33" s="3">
        <v>15</v>
      </c>
    </row>
    <row r="34" spans="3:7" x14ac:dyDescent="0.2">
      <c r="C34" s="5" t="s">
        <v>40</v>
      </c>
      <c r="E34" s="36">
        <v>4.1000000000000002E-2</v>
      </c>
    </row>
    <row r="35" spans="3:7" x14ac:dyDescent="0.2">
      <c r="C35" s="5" t="s">
        <v>6</v>
      </c>
      <c r="E35" s="5">
        <f>-[1]Feuil1!$G$15</f>
        <v>659.66336771741067</v>
      </c>
    </row>
    <row r="37" spans="3:7" x14ac:dyDescent="0.2">
      <c r="C37" s="32" t="s">
        <v>22</v>
      </c>
    </row>
    <row r="38" spans="3:7" x14ac:dyDescent="0.2">
      <c r="C38" s="33" t="s">
        <v>27</v>
      </c>
      <c r="F38" s="22"/>
      <c r="G38" s="22"/>
    </row>
    <row r="39" spans="3:7" ht="14.25" x14ac:dyDescent="0.2">
      <c r="C39" s="33" t="s">
        <v>41</v>
      </c>
      <c r="E39" s="37">
        <f>+E40/E44</f>
        <v>12.5</v>
      </c>
      <c r="F39" s="22"/>
      <c r="G39" s="22"/>
    </row>
    <row r="40" spans="3:7" x14ac:dyDescent="0.2">
      <c r="C40" s="33" t="s">
        <v>31</v>
      </c>
      <c r="E40" s="5">
        <v>500</v>
      </c>
      <c r="F40" s="10"/>
      <c r="G40" s="34"/>
    </row>
    <row r="41" spans="3:7" x14ac:dyDescent="0.2">
      <c r="C41" s="33" t="s">
        <v>32</v>
      </c>
      <c r="E41" s="5">
        <f>+E40*12</f>
        <v>6000</v>
      </c>
    </row>
    <row r="42" spans="3:7" x14ac:dyDescent="0.2">
      <c r="C42" s="33" t="s">
        <v>33</v>
      </c>
      <c r="E42" s="36">
        <f>+E41/(E17*1000)</f>
        <v>6.9767441860465115E-2</v>
      </c>
    </row>
    <row r="43" spans="3:7" x14ac:dyDescent="0.2">
      <c r="C43" s="33" t="s">
        <v>34</v>
      </c>
      <c r="E43" s="36">
        <v>1.4999999999999999E-2</v>
      </c>
    </row>
    <row r="44" spans="3:7" ht="14.25" x14ac:dyDescent="0.2">
      <c r="C44" s="33" t="s">
        <v>50</v>
      </c>
      <c r="E44" s="3">
        <v>40</v>
      </c>
    </row>
    <row r="45" spans="3:7" ht="14.25" x14ac:dyDescent="0.2">
      <c r="C45" s="33" t="s">
        <v>51</v>
      </c>
      <c r="E45" s="5">
        <f>+E17*1000/E44</f>
        <v>2150</v>
      </c>
    </row>
    <row r="46" spans="3:7" x14ac:dyDescent="0.2">
      <c r="C46" s="5" t="s">
        <v>28</v>
      </c>
      <c r="E46" s="38">
        <v>700</v>
      </c>
    </row>
    <row r="47" spans="3:7" x14ac:dyDescent="0.2">
      <c r="C47" s="5" t="s">
        <v>29</v>
      </c>
      <c r="E47" s="38">
        <v>300</v>
      </c>
      <c r="F47" s="35" t="s">
        <v>30</v>
      </c>
    </row>
    <row r="48" spans="3:7" x14ac:dyDescent="0.2">
      <c r="E48" s="38"/>
      <c r="F48" s="35"/>
    </row>
    <row r="49" spans="3:18" x14ac:dyDescent="0.2">
      <c r="C49" s="2" t="s">
        <v>52</v>
      </c>
      <c r="D49" s="40"/>
      <c r="E49" s="60">
        <v>0.3</v>
      </c>
      <c r="F49" s="35"/>
    </row>
    <row r="51" spans="3:18" x14ac:dyDescent="0.2">
      <c r="C51" s="32" t="s">
        <v>7</v>
      </c>
    </row>
    <row r="52" spans="3:18" ht="12.75" customHeight="1" x14ac:dyDescent="0.2">
      <c r="C52" s="32"/>
    </row>
    <row r="53" spans="3:18" s="44" customFormat="1" x14ac:dyDescent="0.2">
      <c r="C53" s="42" t="s">
        <v>8</v>
      </c>
      <c r="D53" s="43">
        <v>1</v>
      </c>
      <c r="E53" s="43">
        <f>+D53+1</f>
        <v>2</v>
      </c>
      <c r="F53" s="43">
        <f t="shared" ref="F53:R53" si="0">+E53+1</f>
        <v>3</v>
      </c>
      <c r="G53" s="43">
        <f t="shared" si="0"/>
        <v>4</v>
      </c>
      <c r="H53" s="43">
        <f t="shared" si="0"/>
        <v>5</v>
      </c>
      <c r="I53" s="43">
        <f t="shared" si="0"/>
        <v>6</v>
      </c>
      <c r="J53" s="43">
        <f t="shared" si="0"/>
        <v>7</v>
      </c>
      <c r="K53" s="43">
        <f t="shared" si="0"/>
        <v>8</v>
      </c>
      <c r="L53" s="43">
        <f t="shared" si="0"/>
        <v>9</v>
      </c>
      <c r="M53" s="43">
        <f t="shared" si="0"/>
        <v>10</v>
      </c>
      <c r="N53" s="43">
        <f t="shared" si="0"/>
        <v>11</v>
      </c>
      <c r="O53" s="43">
        <f t="shared" si="0"/>
        <v>12</v>
      </c>
      <c r="P53" s="43">
        <f t="shared" si="0"/>
        <v>13</v>
      </c>
      <c r="Q53" s="43">
        <f t="shared" si="0"/>
        <v>14</v>
      </c>
      <c r="R53" s="43">
        <f t="shared" si="0"/>
        <v>15</v>
      </c>
    </row>
    <row r="54" spans="3:18" s="4" customFormat="1" x14ac:dyDescent="0.2">
      <c r="C54" s="7" t="s">
        <v>9</v>
      </c>
      <c r="D54" s="7">
        <f>-D81</f>
        <v>3550.3491384864428</v>
      </c>
      <c r="E54" s="7">
        <f t="shared" ref="E54:R54" si="1">-E81</f>
        <v>3367.9569517879577</v>
      </c>
      <c r="F54" s="7">
        <f t="shared" si="1"/>
        <v>3177.9445470536043</v>
      </c>
      <c r="G54" s="7">
        <f t="shared" si="1"/>
        <v>2979.9935569017262</v>
      </c>
      <c r="H54" s="7">
        <f t="shared" si="1"/>
        <v>2773.7723127840527</v>
      </c>
      <c r="I54" s="7">
        <f t="shared" si="1"/>
        <v>2558.9352892722627</v>
      </c>
      <c r="J54" s="7">
        <f t="shared" si="1"/>
        <v>2335.1225251272244</v>
      </c>
      <c r="K54" s="7">
        <f t="shared" si="1"/>
        <v>2101.9590201809115</v>
      </c>
      <c r="L54" s="7">
        <f t="shared" si="1"/>
        <v>1859.0541070204658</v>
      </c>
      <c r="M54" s="7">
        <f t="shared" si="1"/>
        <v>1606.0007964216704</v>
      </c>
      <c r="N54" s="7">
        <f t="shared" si="1"/>
        <v>1342.3750954350746</v>
      </c>
      <c r="O54" s="7">
        <f t="shared" si="1"/>
        <v>1067.7352969822466</v>
      </c>
      <c r="P54" s="7">
        <f t="shared" si="1"/>
        <v>781.62123977184979</v>
      </c>
      <c r="Q54" s="7">
        <f t="shared" si="1"/>
        <v>483.55353729552866</v>
      </c>
      <c r="R54" s="7">
        <f t="shared" si="1"/>
        <v>173.03277461178516</v>
      </c>
    </row>
    <row r="55" spans="3:18" s="4" customFormat="1" x14ac:dyDescent="0.2">
      <c r="C55" s="8" t="s">
        <v>10</v>
      </c>
      <c r="D55" s="6">
        <f>+D56-D54</f>
        <v>4365.6112741224852</v>
      </c>
      <c r="E55" s="6">
        <f t="shared" ref="E55:R55" si="2">+E56-E54</f>
        <v>4548.0034608209698</v>
      </c>
      <c r="F55" s="6">
        <f t="shared" si="2"/>
        <v>4738.0158655553241</v>
      </c>
      <c r="G55" s="6">
        <f t="shared" si="2"/>
        <v>4935.9668557072018</v>
      </c>
      <c r="H55" s="6">
        <f t="shared" si="2"/>
        <v>5142.1880998248753</v>
      </c>
      <c r="I55" s="8">
        <f t="shared" si="2"/>
        <v>5357.0251233366653</v>
      </c>
      <c r="J55" s="8">
        <f t="shared" si="2"/>
        <v>5580.8378874817035</v>
      </c>
      <c r="K55" s="8">
        <f t="shared" si="2"/>
        <v>5814.0013924280165</v>
      </c>
      <c r="L55" s="8">
        <f t="shared" si="2"/>
        <v>6056.9063055884617</v>
      </c>
      <c r="M55" s="8">
        <f t="shared" si="2"/>
        <v>6309.9596161872578</v>
      </c>
      <c r="N55" s="8">
        <f t="shared" si="2"/>
        <v>6573.5853171738536</v>
      </c>
      <c r="O55" s="8">
        <f t="shared" si="2"/>
        <v>6848.2251156266811</v>
      </c>
      <c r="P55" s="8">
        <f t="shared" si="2"/>
        <v>7134.339172837078</v>
      </c>
      <c r="Q55" s="8">
        <f t="shared" si="2"/>
        <v>7432.4068753133997</v>
      </c>
      <c r="R55" s="6">
        <f t="shared" si="2"/>
        <v>7742.9276379971425</v>
      </c>
    </row>
    <row r="56" spans="3:18" s="4" customFormat="1" x14ac:dyDescent="0.2">
      <c r="C56" s="45" t="s">
        <v>11</v>
      </c>
      <c r="D56" s="45">
        <f>-D71</f>
        <v>7915.960412608928</v>
      </c>
      <c r="E56" s="45">
        <f t="shared" ref="E56:R56" si="3">-E71</f>
        <v>7915.960412608928</v>
      </c>
      <c r="F56" s="45">
        <f t="shared" si="3"/>
        <v>7915.960412608928</v>
      </c>
      <c r="G56" s="45">
        <f t="shared" si="3"/>
        <v>7915.960412608928</v>
      </c>
      <c r="H56" s="45">
        <f t="shared" si="3"/>
        <v>7915.960412608928</v>
      </c>
      <c r="I56" s="45">
        <f t="shared" si="3"/>
        <v>7915.960412608928</v>
      </c>
      <c r="J56" s="45">
        <f t="shared" si="3"/>
        <v>7915.960412608928</v>
      </c>
      <c r="K56" s="45">
        <f t="shared" si="3"/>
        <v>7915.960412608928</v>
      </c>
      <c r="L56" s="45">
        <f t="shared" si="3"/>
        <v>7915.960412608928</v>
      </c>
      <c r="M56" s="45">
        <f t="shared" si="3"/>
        <v>7915.960412608928</v>
      </c>
      <c r="N56" s="45">
        <f t="shared" si="3"/>
        <v>7915.960412608928</v>
      </c>
      <c r="O56" s="45">
        <f t="shared" si="3"/>
        <v>7915.960412608928</v>
      </c>
      <c r="P56" s="45">
        <f t="shared" si="3"/>
        <v>7915.960412608928</v>
      </c>
      <c r="Q56" s="45">
        <f t="shared" si="3"/>
        <v>7915.960412608928</v>
      </c>
      <c r="R56" s="45">
        <f t="shared" si="3"/>
        <v>7915.960412608928</v>
      </c>
    </row>
    <row r="57" spans="3:18" s="4" customFormat="1" x14ac:dyDescent="0.2"/>
    <row r="58" spans="3:18" s="4" customFormat="1" hidden="1" x14ac:dyDescent="0.2"/>
    <row r="59" spans="3:18" s="4" customFormat="1" hidden="1" x14ac:dyDescent="0.2"/>
    <row r="60" spans="3:18" s="4" customFormat="1" hidden="1" x14ac:dyDescent="0.2"/>
    <row r="61" spans="3:18" s="4" customFormat="1" hidden="1" x14ac:dyDescent="0.2"/>
    <row r="62" spans="3:18" s="4" customFormat="1" hidden="1" x14ac:dyDescent="0.2"/>
    <row r="63" spans="3:18" s="4" customFormat="1" x14ac:dyDescent="0.2"/>
    <row r="64" spans="3:18" s="4" customFormat="1" ht="15.75" x14ac:dyDescent="0.25">
      <c r="C64" s="46" t="s">
        <v>42</v>
      </c>
    </row>
    <row r="65" spans="3:19" s="4" customFormat="1" x14ac:dyDescent="0.2">
      <c r="C65" s="47"/>
    </row>
    <row r="66" spans="3:19" s="44" customFormat="1" x14ac:dyDescent="0.2">
      <c r="C66" s="42" t="s">
        <v>8</v>
      </c>
      <c r="D66" s="43">
        <v>1</v>
      </c>
      <c r="E66" s="43">
        <f>+D66+1</f>
        <v>2</v>
      </c>
      <c r="F66" s="43">
        <f t="shared" ref="F66:R66" si="4">+E66+1</f>
        <v>3</v>
      </c>
      <c r="G66" s="43">
        <f t="shared" si="4"/>
        <v>4</v>
      </c>
      <c r="H66" s="43">
        <f t="shared" si="4"/>
        <v>5</v>
      </c>
      <c r="I66" s="43">
        <f t="shared" si="4"/>
        <v>6</v>
      </c>
      <c r="J66" s="43">
        <f t="shared" si="4"/>
        <v>7</v>
      </c>
      <c r="K66" s="43">
        <f t="shared" si="4"/>
        <v>8</v>
      </c>
      <c r="L66" s="43">
        <f t="shared" si="4"/>
        <v>9</v>
      </c>
      <c r="M66" s="43">
        <f t="shared" si="4"/>
        <v>10</v>
      </c>
      <c r="N66" s="43">
        <f t="shared" si="4"/>
        <v>11</v>
      </c>
      <c r="O66" s="43">
        <f t="shared" si="4"/>
        <v>12</v>
      </c>
      <c r="P66" s="43">
        <f t="shared" si="4"/>
        <v>13</v>
      </c>
      <c r="Q66" s="43">
        <f t="shared" si="4"/>
        <v>14</v>
      </c>
      <c r="R66" s="43">
        <f t="shared" si="4"/>
        <v>15</v>
      </c>
    </row>
    <row r="67" spans="3:19" s="4" customFormat="1" x14ac:dyDescent="0.2"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3:19" s="4" customFormat="1" x14ac:dyDescent="0.2">
      <c r="C68" s="48" t="s">
        <v>12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3:19" s="4" customFormat="1" x14ac:dyDescent="0.2">
      <c r="C69" s="11" t="s">
        <v>13</v>
      </c>
      <c r="D69" s="6">
        <f>+E41</f>
        <v>6000</v>
      </c>
      <c r="E69" s="6">
        <f>+D69*(1+$E$43)</f>
        <v>6089.9999999999991</v>
      </c>
      <c r="F69" s="6">
        <f t="shared" ref="F69:R69" si="5">+E69*(1+$E$43)</f>
        <v>6181.3499999999985</v>
      </c>
      <c r="G69" s="6">
        <f t="shared" si="5"/>
        <v>6274.0702499999979</v>
      </c>
      <c r="H69" s="6">
        <f t="shared" si="5"/>
        <v>6368.1813037499969</v>
      </c>
      <c r="I69" s="6">
        <f t="shared" si="5"/>
        <v>6463.7040233062462</v>
      </c>
      <c r="J69" s="6">
        <f t="shared" si="5"/>
        <v>6560.659583655839</v>
      </c>
      <c r="K69" s="6">
        <f t="shared" si="5"/>
        <v>6659.069477410676</v>
      </c>
      <c r="L69" s="6">
        <f t="shared" si="5"/>
        <v>6758.9555195718358</v>
      </c>
      <c r="M69" s="6">
        <f t="shared" si="5"/>
        <v>6860.3398523654123</v>
      </c>
      <c r="N69" s="6">
        <f t="shared" si="5"/>
        <v>6963.2449501508927</v>
      </c>
      <c r="O69" s="6">
        <f t="shared" si="5"/>
        <v>7067.6936244031558</v>
      </c>
      <c r="P69" s="6">
        <f t="shared" si="5"/>
        <v>7173.7090287692026</v>
      </c>
      <c r="Q69" s="6">
        <f t="shared" si="5"/>
        <v>7281.3146642007396</v>
      </c>
      <c r="R69" s="6">
        <f t="shared" si="5"/>
        <v>7390.5343841637496</v>
      </c>
    </row>
    <row r="70" spans="3:19" s="4" customFormat="1" x14ac:dyDescent="0.2">
      <c r="C70" s="6" t="s">
        <v>14</v>
      </c>
      <c r="D70" s="6">
        <f>-E46</f>
        <v>-700</v>
      </c>
      <c r="E70" s="6">
        <f>-E46</f>
        <v>-700</v>
      </c>
      <c r="F70" s="6">
        <f>-$E$46-$E$47</f>
        <v>-1000</v>
      </c>
      <c r="G70" s="6">
        <f t="shared" ref="G70:R70" si="6">-$E$46-$E$47</f>
        <v>-1000</v>
      </c>
      <c r="H70" s="6">
        <f t="shared" si="6"/>
        <v>-1000</v>
      </c>
      <c r="I70" s="6">
        <f t="shared" si="6"/>
        <v>-1000</v>
      </c>
      <c r="J70" s="6">
        <f t="shared" si="6"/>
        <v>-1000</v>
      </c>
      <c r="K70" s="6">
        <f t="shared" si="6"/>
        <v>-1000</v>
      </c>
      <c r="L70" s="6">
        <f t="shared" si="6"/>
        <v>-1000</v>
      </c>
      <c r="M70" s="6">
        <f t="shared" si="6"/>
        <v>-1000</v>
      </c>
      <c r="N70" s="6">
        <f t="shared" si="6"/>
        <v>-1000</v>
      </c>
      <c r="O70" s="6">
        <f t="shared" si="6"/>
        <v>-1000</v>
      </c>
      <c r="P70" s="6">
        <f t="shared" si="6"/>
        <v>-1000</v>
      </c>
      <c r="Q70" s="6">
        <f t="shared" si="6"/>
        <v>-1000</v>
      </c>
      <c r="R70" s="6">
        <f t="shared" si="6"/>
        <v>-1000</v>
      </c>
    </row>
    <row r="71" spans="3:19" s="4" customFormat="1" x14ac:dyDescent="0.2">
      <c r="C71" s="6" t="s">
        <v>15</v>
      </c>
      <c r="D71" s="6">
        <f>-$E$35*12</f>
        <v>-7915.960412608928</v>
      </c>
      <c r="E71" s="6">
        <f t="shared" ref="E71:R71" si="7">-$E$35*12</f>
        <v>-7915.960412608928</v>
      </c>
      <c r="F71" s="6">
        <f t="shared" si="7"/>
        <v>-7915.960412608928</v>
      </c>
      <c r="G71" s="6">
        <f t="shared" si="7"/>
        <v>-7915.960412608928</v>
      </c>
      <c r="H71" s="6">
        <f t="shared" si="7"/>
        <v>-7915.960412608928</v>
      </c>
      <c r="I71" s="6">
        <f t="shared" si="7"/>
        <v>-7915.960412608928</v>
      </c>
      <c r="J71" s="6">
        <f t="shared" si="7"/>
        <v>-7915.960412608928</v>
      </c>
      <c r="K71" s="6">
        <f t="shared" si="7"/>
        <v>-7915.960412608928</v>
      </c>
      <c r="L71" s="6">
        <f t="shared" si="7"/>
        <v>-7915.960412608928</v>
      </c>
      <c r="M71" s="6">
        <f t="shared" si="7"/>
        <v>-7915.960412608928</v>
      </c>
      <c r="N71" s="6">
        <f t="shared" si="7"/>
        <v>-7915.960412608928</v>
      </c>
      <c r="O71" s="6">
        <f t="shared" si="7"/>
        <v>-7915.960412608928</v>
      </c>
      <c r="P71" s="6">
        <f t="shared" si="7"/>
        <v>-7915.960412608928</v>
      </c>
      <c r="Q71" s="6">
        <f t="shared" si="7"/>
        <v>-7915.960412608928</v>
      </c>
      <c r="R71" s="6">
        <f t="shared" si="7"/>
        <v>-7915.960412608928</v>
      </c>
      <c r="S71" s="4">
        <f>-SUM(D71:R71)</f>
        <v>118739.40618913389</v>
      </c>
    </row>
    <row r="72" spans="3:19" s="4" customFormat="1" hidden="1" x14ac:dyDescent="0.2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3:19" s="51" customFormat="1" x14ac:dyDescent="0.2">
      <c r="C73" s="49" t="s">
        <v>35</v>
      </c>
      <c r="D73" s="50">
        <f>SUM(D69:D72)</f>
        <v>-2615.960412608928</v>
      </c>
      <c r="E73" s="50">
        <f t="shared" ref="E73:R73" si="8">SUM(E69:E72)</f>
        <v>-2525.9604126089289</v>
      </c>
      <c r="F73" s="50">
        <f t="shared" si="8"/>
        <v>-2734.6104126089294</v>
      </c>
      <c r="G73" s="50">
        <f t="shared" si="8"/>
        <v>-2641.89016260893</v>
      </c>
      <c r="H73" s="50">
        <f t="shared" si="8"/>
        <v>-2547.7791088589311</v>
      </c>
      <c r="I73" s="50">
        <f t="shared" si="8"/>
        <v>-2452.2563893026818</v>
      </c>
      <c r="J73" s="50">
        <f t="shared" si="8"/>
        <v>-2355.300828953089</v>
      </c>
      <c r="K73" s="50">
        <f t="shared" si="8"/>
        <v>-2256.890935198252</v>
      </c>
      <c r="L73" s="50">
        <f t="shared" si="8"/>
        <v>-2157.0048930370922</v>
      </c>
      <c r="M73" s="50">
        <f t="shared" si="8"/>
        <v>-2055.6205602435157</v>
      </c>
      <c r="N73" s="50">
        <f t="shared" si="8"/>
        <v>-1952.7154624580353</v>
      </c>
      <c r="O73" s="50">
        <f t="shared" si="8"/>
        <v>-1848.2667882057722</v>
      </c>
      <c r="P73" s="50">
        <f t="shared" si="8"/>
        <v>-1742.2513838397253</v>
      </c>
      <c r="Q73" s="50">
        <f t="shared" si="8"/>
        <v>-1634.6457484081884</v>
      </c>
      <c r="R73" s="50">
        <f t="shared" si="8"/>
        <v>-1525.4260284451784</v>
      </c>
    </row>
    <row r="74" spans="3:19" s="51" customFormat="1" x14ac:dyDescent="0.2">
      <c r="C74" s="49" t="s">
        <v>37</v>
      </c>
      <c r="D74" s="49">
        <f>-D87*$E$49</f>
        <v>1647.1047415459327</v>
      </c>
      <c r="E74" s="49">
        <f t="shared" ref="E74:R74" si="9">-E87*$E$49</f>
        <v>1567.0070855363876</v>
      </c>
      <c r="F74" s="49">
        <f t="shared" si="9"/>
        <v>1574.2426641160816</v>
      </c>
      <c r="G74" s="49">
        <f t="shared" si="9"/>
        <v>1488.7102565705184</v>
      </c>
      <c r="H74" s="49">
        <f t="shared" si="9"/>
        <v>1400.3045661777167</v>
      </c>
      <c r="I74" s="49">
        <f t="shared" si="9"/>
        <v>-110.08394779068257</v>
      </c>
      <c r="J74" s="49">
        <f t="shared" si="9"/>
        <v>-204.56924505277919</v>
      </c>
      <c r="K74" s="49">
        <f t="shared" si="9"/>
        <v>-302.26988657553716</v>
      </c>
      <c r="L74" s="49">
        <f t="shared" si="9"/>
        <v>-403.30922441311793</v>
      </c>
      <c r="M74" s="49">
        <f t="shared" si="9"/>
        <v>-507.81559944054516</v>
      </c>
      <c r="N74" s="49">
        <f t="shared" si="9"/>
        <v>-615.92254731202945</v>
      </c>
      <c r="O74" s="49">
        <f t="shared" si="9"/>
        <v>-727.76901298701591</v>
      </c>
      <c r="P74" s="49">
        <f t="shared" si="9"/>
        <v>-843.49957418136012</v>
      </c>
      <c r="Q74" s="49">
        <f t="shared" si="9"/>
        <v>-963.26467411595002</v>
      </c>
      <c r="R74" s="49">
        <f t="shared" si="9"/>
        <v>-1087.2208639506416</v>
      </c>
    </row>
    <row r="75" spans="3:19" s="51" customFormat="1" x14ac:dyDescent="0.2">
      <c r="C75" s="49" t="s">
        <v>38</v>
      </c>
      <c r="D75" s="50">
        <f>+D73+D74</f>
        <v>-968.85567106299527</v>
      </c>
      <c r="E75" s="50">
        <f t="shared" ref="E75:R75" si="10">+E73+E74</f>
        <v>-958.95332707254124</v>
      </c>
      <c r="F75" s="50">
        <f t="shared" si="10"/>
        <v>-1160.3677484928478</v>
      </c>
      <c r="G75" s="50">
        <f t="shared" si="10"/>
        <v>-1153.1799060384117</v>
      </c>
      <c r="H75" s="50">
        <f t="shared" si="10"/>
        <v>-1147.4745426812144</v>
      </c>
      <c r="I75" s="50">
        <f t="shared" si="10"/>
        <v>-2562.3403370933643</v>
      </c>
      <c r="J75" s="50">
        <f t="shared" si="10"/>
        <v>-2559.870074005868</v>
      </c>
      <c r="K75" s="50">
        <f t="shared" si="10"/>
        <v>-2559.1608217737894</v>
      </c>
      <c r="L75" s="50">
        <f t="shared" si="10"/>
        <v>-2560.3141174502102</v>
      </c>
      <c r="M75" s="50">
        <f t="shared" si="10"/>
        <v>-2563.4361596840608</v>
      </c>
      <c r="N75" s="50">
        <f t="shared" si="10"/>
        <v>-2568.6380097700649</v>
      </c>
      <c r="O75" s="50">
        <f t="shared" si="10"/>
        <v>-2576.0358011927883</v>
      </c>
      <c r="P75" s="50">
        <f t="shared" si="10"/>
        <v>-2585.7509580210854</v>
      </c>
      <c r="Q75" s="50">
        <f t="shared" si="10"/>
        <v>-2597.9104225241385</v>
      </c>
      <c r="R75" s="50">
        <f t="shared" si="10"/>
        <v>-2612.64689239582</v>
      </c>
    </row>
    <row r="76" spans="3:19" s="51" customFormat="1" x14ac:dyDescent="0.2">
      <c r="C76" s="49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</row>
    <row r="77" spans="3:19" s="4" customFormat="1" x14ac:dyDescent="0.2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3:19" s="4" customFormat="1" ht="12.75" customHeight="1" x14ac:dyDescent="0.2">
      <c r="C78" s="48" t="s">
        <v>16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3:19" s="4" customFormat="1" x14ac:dyDescent="0.2">
      <c r="C79" s="6" t="s">
        <v>36</v>
      </c>
      <c r="D79" s="6">
        <f>+D69</f>
        <v>6000</v>
      </c>
      <c r="E79" s="6">
        <f t="shared" ref="E79:R79" si="11">+E69</f>
        <v>6089.9999999999991</v>
      </c>
      <c r="F79" s="6">
        <f t="shared" si="11"/>
        <v>6181.3499999999985</v>
      </c>
      <c r="G79" s="6">
        <f t="shared" si="11"/>
        <v>6274.0702499999979</v>
      </c>
      <c r="H79" s="6">
        <f t="shared" si="11"/>
        <v>6368.1813037499969</v>
      </c>
      <c r="I79" s="6">
        <f t="shared" si="11"/>
        <v>6463.7040233062462</v>
      </c>
      <c r="J79" s="6">
        <f t="shared" si="11"/>
        <v>6560.659583655839</v>
      </c>
      <c r="K79" s="6">
        <f t="shared" si="11"/>
        <v>6659.069477410676</v>
      </c>
      <c r="L79" s="6">
        <f t="shared" si="11"/>
        <v>6758.9555195718358</v>
      </c>
      <c r="M79" s="6">
        <f t="shared" si="11"/>
        <v>6860.3398523654123</v>
      </c>
      <c r="N79" s="6">
        <f t="shared" si="11"/>
        <v>6963.2449501508927</v>
      </c>
      <c r="O79" s="6">
        <f t="shared" si="11"/>
        <v>7067.6936244031558</v>
      </c>
      <c r="P79" s="6">
        <f t="shared" si="11"/>
        <v>7173.7090287692026</v>
      </c>
      <c r="Q79" s="6">
        <f t="shared" si="11"/>
        <v>7281.3146642007396</v>
      </c>
      <c r="R79" s="6">
        <f t="shared" si="11"/>
        <v>7390.5343841637496</v>
      </c>
    </row>
    <row r="80" spans="3:19" s="4" customFormat="1" x14ac:dyDescent="0.2">
      <c r="C80" s="6" t="s">
        <v>17</v>
      </c>
      <c r="D80" s="6">
        <f>+D70</f>
        <v>-700</v>
      </c>
      <c r="E80" s="6">
        <f t="shared" ref="E80:R80" si="12">+E70</f>
        <v>-700</v>
      </c>
      <c r="F80" s="6">
        <f t="shared" si="12"/>
        <v>-1000</v>
      </c>
      <c r="G80" s="6">
        <f t="shared" si="12"/>
        <v>-1000</v>
      </c>
      <c r="H80" s="6">
        <f t="shared" si="12"/>
        <v>-1000</v>
      </c>
      <c r="I80" s="6">
        <f t="shared" si="12"/>
        <v>-1000</v>
      </c>
      <c r="J80" s="6">
        <f t="shared" si="12"/>
        <v>-1000</v>
      </c>
      <c r="K80" s="6">
        <f t="shared" si="12"/>
        <v>-1000</v>
      </c>
      <c r="L80" s="6">
        <f t="shared" si="12"/>
        <v>-1000</v>
      </c>
      <c r="M80" s="6">
        <f t="shared" si="12"/>
        <v>-1000</v>
      </c>
      <c r="N80" s="6">
        <f t="shared" si="12"/>
        <v>-1000</v>
      </c>
      <c r="O80" s="6">
        <f t="shared" si="12"/>
        <v>-1000</v>
      </c>
      <c r="P80" s="6">
        <f t="shared" si="12"/>
        <v>-1000</v>
      </c>
      <c r="Q80" s="6">
        <f t="shared" si="12"/>
        <v>-1000</v>
      </c>
      <c r="R80" s="6">
        <f t="shared" si="12"/>
        <v>-1000</v>
      </c>
    </row>
    <row r="81" spans="3:19" s="4" customFormat="1" ht="12.75" customHeight="1" x14ac:dyDescent="0.2">
      <c r="C81" s="6" t="s">
        <v>18</v>
      </c>
      <c r="D81" s="6">
        <f>-[1]Feuil1!$I$35</f>
        <v>-3550.3491384864428</v>
      </c>
      <c r="E81" s="6">
        <f>-[1]Feuil1!$I$49</f>
        <v>-3367.9569517879577</v>
      </c>
      <c r="F81" s="6">
        <f>-[1]Feuil1!$I$61</f>
        <v>-3177.9445470536043</v>
      </c>
      <c r="G81" s="6">
        <f>-[1]Feuil1!$I$73</f>
        <v>-2979.9935569017262</v>
      </c>
      <c r="H81" s="6">
        <f>-[1]Feuil1!$I$85</f>
        <v>-2773.7723127840527</v>
      </c>
      <c r="I81" s="6">
        <f>-[1]Feuil1!$I$97</f>
        <v>-2558.9352892722627</v>
      </c>
      <c r="J81" s="6">
        <f>-[1]Feuil1!$I$109</f>
        <v>-2335.1225251272244</v>
      </c>
      <c r="K81" s="6">
        <f>-[1]Feuil1!$I$121</f>
        <v>-2101.9590201809115</v>
      </c>
      <c r="L81" s="6">
        <f>-[1]Feuil1!$I$133</f>
        <v>-1859.0541070204658</v>
      </c>
      <c r="M81" s="6">
        <f>-[1]Feuil1!$I$145</f>
        <v>-1606.0007964216704</v>
      </c>
      <c r="N81" s="6">
        <f>-[1]Feuil1!$I$157</f>
        <v>-1342.3750954350746</v>
      </c>
      <c r="O81" s="6">
        <f>-[1]Feuil1!$I$169</f>
        <v>-1067.7352969822466</v>
      </c>
      <c r="P81" s="6">
        <f>-[1]Feuil1!$I$181</f>
        <v>-781.62123977184979</v>
      </c>
      <c r="Q81" s="6">
        <f>-[1]Feuil1!$I$193</f>
        <v>-483.55353729552866</v>
      </c>
      <c r="R81" s="6">
        <f>-[1]Feuil1!$I$205</f>
        <v>-173.03277461178516</v>
      </c>
      <c r="S81" s="4">
        <f t="shared" ref="S81:S86" si="13">-SUM(D81:R81)</f>
        <v>30159.406189132798</v>
      </c>
    </row>
    <row r="82" spans="3:19" s="4" customFormat="1" ht="12.75" customHeight="1" x14ac:dyDescent="0.2">
      <c r="C82" s="6" t="s">
        <v>39</v>
      </c>
      <c r="D82" s="6">
        <f>-D79*0.06</f>
        <v>-360</v>
      </c>
      <c r="E82" s="6">
        <f t="shared" ref="E82:R82" si="14">-E79*0.06</f>
        <v>-365.39999999999992</v>
      </c>
      <c r="F82" s="6">
        <f t="shared" si="14"/>
        <v>-370.88099999999991</v>
      </c>
      <c r="G82" s="6">
        <f t="shared" si="14"/>
        <v>-376.44421499999987</v>
      </c>
      <c r="H82" s="6">
        <f t="shared" si="14"/>
        <v>-382.09087822499981</v>
      </c>
      <c r="I82" s="6">
        <f t="shared" si="14"/>
        <v>-387.82224139837479</v>
      </c>
      <c r="J82" s="6">
        <f t="shared" si="14"/>
        <v>-393.63957501935033</v>
      </c>
      <c r="K82" s="6">
        <f t="shared" si="14"/>
        <v>-399.54416864464054</v>
      </c>
      <c r="L82" s="6">
        <f t="shared" si="14"/>
        <v>-405.53733117431011</v>
      </c>
      <c r="M82" s="6">
        <f t="shared" si="14"/>
        <v>-411.6203911419247</v>
      </c>
      <c r="N82" s="6">
        <f t="shared" si="14"/>
        <v>-417.79469700905355</v>
      </c>
      <c r="O82" s="6">
        <f t="shared" si="14"/>
        <v>-424.06161746418934</v>
      </c>
      <c r="P82" s="6">
        <f t="shared" si="14"/>
        <v>-430.42254172615213</v>
      </c>
      <c r="Q82" s="6">
        <f t="shared" si="14"/>
        <v>-436.87887985204435</v>
      </c>
      <c r="R82" s="6">
        <f t="shared" si="14"/>
        <v>-443.43206304982493</v>
      </c>
      <c r="S82" s="4">
        <f t="shared" si="13"/>
        <v>6005.5695997048651</v>
      </c>
    </row>
    <row r="83" spans="3:19" s="4" customFormat="1" ht="12.75" customHeight="1" x14ac:dyDescent="0.2">
      <c r="C83" s="6" t="s">
        <v>23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3:19" s="4" customFormat="1" ht="12.75" customHeight="1" x14ac:dyDescent="0.2">
      <c r="C84" s="6" t="s">
        <v>24</v>
      </c>
      <c r="D84" s="6">
        <f>-0.08*$E$17*1000</f>
        <v>-6880</v>
      </c>
      <c r="E84" s="6">
        <f>-0.08*$E$17*1000</f>
        <v>-6880</v>
      </c>
      <c r="F84" s="6">
        <f>-0.08*$E$17*1000</f>
        <v>-6880</v>
      </c>
      <c r="G84" s="6">
        <f>-0.08*$E$17*1000</f>
        <v>-6880</v>
      </c>
      <c r="H84" s="6">
        <f>-0.08*$E$17*1000</f>
        <v>-6880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4">
        <f t="shared" si="13"/>
        <v>34400</v>
      </c>
    </row>
    <row r="85" spans="3:19" s="4" customFormat="1" ht="12.75" customHeight="1" x14ac:dyDescent="0.2">
      <c r="C85" s="6" t="s">
        <v>25</v>
      </c>
      <c r="D85" s="6"/>
      <c r="E85" s="6"/>
      <c r="F85" s="6"/>
      <c r="G85" s="6"/>
      <c r="H85" s="6"/>
      <c r="I85" s="6">
        <f>-0.025*$E$17*1000</f>
        <v>-2150</v>
      </c>
      <c r="J85" s="6">
        <f t="shared" ref="J85:R85" si="15">-0.025*$E$17*1000</f>
        <v>-2150</v>
      </c>
      <c r="K85" s="6">
        <f t="shared" si="15"/>
        <v>-2150</v>
      </c>
      <c r="L85" s="6">
        <f t="shared" si="15"/>
        <v>-2150</v>
      </c>
      <c r="M85" s="6">
        <f t="shared" si="15"/>
        <v>-2150</v>
      </c>
      <c r="N85" s="6">
        <f t="shared" si="15"/>
        <v>-2150</v>
      </c>
      <c r="O85" s="6">
        <f t="shared" si="15"/>
        <v>-2150</v>
      </c>
      <c r="P85" s="6">
        <f t="shared" si="15"/>
        <v>-2150</v>
      </c>
      <c r="Q85" s="6">
        <f t="shared" si="15"/>
        <v>-2150</v>
      </c>
      <c r="R85" s="6">
        <f t="shared" si="15"/>
        <v>-2150</v>
      </c>
      <c r="S85" s="4">
        <f t="shared" si="13"/>
        <v>21500</v>
      </c>
    </row>
    <row r="86" spans="3:19" s="4" customFormat="1" ht="12.75" customHeight="1" x14ac:dyDescent="0.2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4">
        <f t="shared" si="13"/>
        <v>0</v>
      </c>
    </row>
    <row r="87" spans="3:19" s="4" customFormat="1" ht="12.75" customHeight="1" x14ac:dyDescent="0.2">
      <c r="C87" s="52" t="s">
        <v>19</v>
      </c>
      <c r="D87" s="9">
        <f>SUM(D79:D86)</f>
        <v>-5490.3491384864428</v>
      </c>
      <c r="E87" s="9">
        <f t="shared" ref="E87:R87" si="16">SUM(E79:E86)</f>
        <v>-5223.3569517879587</v>
      </c>
      <c r="F87" s="9">
        <f t="shared" si="16"/>
        <v>-5247.4755470536056</v>
      </c>
      <c r="G87" s="9">
        <f t="shared" si="16"/>
        <v>-4962.3675219017277</v>
      </c>
      <c r="H87" s="9">
        <f t="shared" si="16"/>
        <v>-4667.6818872590557</v>
      </c>
      <c r="I87" s="9">
        <f t="shared" si="16"/>
        <v>366.94649263560859</v>
      </c>
      <c r="J87" s="9">
        <f t="shared" si="16"/>
        <v>681.89748350926402</v>
      </c>
      <c r="K87" s="9">
        <f t="shared" si="16"/>
        <v>1007.5662885851239</v>
      </c>
      <c r="L87" s="9">
        <f t="shared" si="16"/>
        <v>1344.3640813770598</v>
      </c>
      <c r="M87" s="9">
        <f t="shared" si="16"/>
        <v>1692.7186648018173</v>
      </c>
      <c r="N87" s="9">
        <f t="shared" si="16"/>
        <v>2053.0751577067649</v>
      </c>
      <c r="O87" s="9">
        <f t="shared" si="16"/>
        <v>2425.8967099567199</v>
      </c>
      <c r="P87" s="9">
        <f t="shared" si="16"/>
        <v>2811.6652472712003</v>
      </c>
      <c r="Q87" s="9">
        <f t="shared" si="16"/>
        <v>3210.8822470531668</v>
      </c>
      <c r="R87" s="9">
        <f t="shared" si="16"/>
        <v>3624.069546502139</v>
      </c>
    </row>
    <row r="88" spans="3:19" s="4" customFormat="1" x14ac:dyDescent="0.2"/>
    <row r="89" spans="3:19" s="4" customFormat="1" x14ac:dyDescent="0.2">
      <c r="D89" s="36"/>
    </row>
    <row r="90" spans="3:19" s="4" customFormat="1" x14ac:dyDescent="0.2"/>
    <row r="91" spans="3:19" s="4" customFormat="1" x14ac:dyDescent="0.2">
      <c r="C91" s="51" t="s">
        <v>45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</row>
    <row r="92" spans="3:19" s="4" customFormat="1" x14ac:dyDescent="0.2">
      <c r="C92" s="54" t="s">
        <v>8</v>
      </c>
      <c r="D92" s="55">
        <v>1</v>
      </c>
      <c r="E92" s="55">
        <f>+D92+1</f>
        <v>2</v>
      </c>
      <c r="F92" s="55">
        <f t="shared" ref="F92:R92" si="17">+E92+1</f>
        <v>3</v>
      </c>
      <c r="G92" s="55">
        <f t="shared" si="17"/>
        <v>4</v>
      </c>
      <c r="H92" s="55">
        <f t="shared" si="17"/>
        <v>5</v>
      </c>
      <c r="I92" s="55">
        <f t="shared" si="17"/>
        <v>6</v>
      </c>
      <c r="J92" s="55">
        <f t="shared" si="17"/>
        <v>7</v>
      </c>
      <c r="K92" s="55">
        <f t="shared" si="17"/>
        <v>8</v>
      </c>
      <c r="L92" s="55">
        <f t="shared" si="17"/>
        <v>9</v>
      </c>
      <c r="M92" s="55">
        <f t="shared" si="17"/>
        <v>10</v>
      </c>
      <c r="N92" s="55">
        <f t="shared" si="17"/>
        <v>11</v>
      </c>
      <c r="O92" s="55">
        <f t="shared" si="17"/>
        <v>12</v>
      </c>
      <c r="P92" s="55">
        <f t="shared" si="17"/>
        <v>13</v>
      </c>
      <c r="Q92" s="55">
        <f t="shared" si="17"/>
        <v>14</v>
      </c>
      <c r="R92" s="55">
        <f t="shared" si="17"/>
        <v>15</v>
      </c>
    </row>
    <row r="93" spans="3:19" s="4" customFormat="1" x14ac:dyDescent="0.2">
      <c r="C93" s="56" t="s">
        <v>46</v>
      </c>
      <c r="D93" s="56">
        <f>-E27*1000</f>
        <v>0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</row>
    <row r="94" spans="3:19" s="4" customFormat="1" x14ac:dyDescent="0.2">
      <c r="C94" s="57" t="s">
        <v>47</v>
      </c>
      <c r="D94" s="57">
        <f>+D75</f>
        <v>-968.85567106299527</v>
      </c>
      <c r="E94" s="57">
        <f t="shared" ref="E94:R94" si="18">+E75</f>
        <v>-958.95332707254124</v>
      </c>
      <c r="F94" s="57">
        <f t="shared" si="18"/>
        <v>-1160.3677484928478</v>
      </c>
      <c r="G94" s="57">
        <f t="shared" si="18"/>
        <v>-1153.1799060384117</v>
      </c>
      <c r="H94" s="57">
        <f t="shared" si="18"/>
        <v>-1147.4745426812144</v>
      </c>
      <c r="I94" s="57">
        <f t="shared" si="18"/>
        <v>-2562.3403370933643</v>
      </c>
      <c r="J94" s="57">
        <f t="shared" si="18"/>
        <v>-2559.870074005868</v>
      </c>
      <c r="K94" s="57">
        <f t="shared" si="18"/>
        <v>-2559.1608217737894</v>
      </c>
      <c r="L94" s="57">
        <f t="shared" si="18"/>
        <v>-2560.3141174502102</v>
      </c>
      <c r="M94" s="57">
        <f t="shared" si="18"/>
        <v>-2563.4361596840608</v>
      </c>
      <c r="N94" s="57">
        <f t="shared" si="18"/>
        <v>-2568.6380097700649</v>
      </c>
      <c r="O94" s="57">
        <f t="shared" si="18"/>
        <v>-2576.0358011927883</v>
      </c>
      <c r="P94" s="57">
        <f t="shared" si="18"/>
        <v>-2585.7509580210854</v>
      </c>
      <c r="Q94" s="57">
        <f t="shared" si="18"/>
        <v>-2597.9104225241385</v>
      </c>
      <c r="R94" s="57">
        <f t="shared" si="18"/>
        <v>-2612.64689239582</v>
      </c>
    </row>
    <row r="95" spans="3:19" s="4" customFormat="1" hidden="1" x14ac:dyDescent="0.2"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</row>
    <row r="96" spans="3:19" s="4" customFormat="1" hidden="1" x14ac:dyDescent="0.2"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</row>
    <row r="97" spans="3:18" s="4" customFormat="1" hidden="1" x14ac:dyDescent="0.2"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</row>
    <row r="98" spans="3:18" s="4" customFormat="1" hidden="1" x14ac:dyDescent="0.2"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</row>
    <row r="99" spans="3:18" s="4" customFormat="1" x14ac:dyDescent="0.2">
      <c r="C99" s="57" t="s">
        <v>48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>
        <f>+E17*1000</f>
        <v>86000</v>
      </c>
    </row>
    <row r="100" spans="3:18" s="4" customFormat="1" x14ac:dyDescent="0.2">
      <c r="C100" s="58"/>
      <c r="D100" s="59">
        <f t="shared" ref="D100:R100" si="19">SUM(D93:D99)</f>
        <v>-968.85567106299527</v>
      </c>
      <c r="E100" s="59">
        <f t="shared" si="19"/>
        <v>-958.95332707254124</v>
      </c>
      <c r="F100" s="59">
        <f t="shared" si="19"/>
        <v>-1160.3677484928478</v>
      </c>
      <c r="G100" s="59">
        <f t="shared" si="19"/>
        <v>-1153.1799060384117</v>
      </c>
      <c r="H100" s="59">
        <f t="shared" si="19"/>
        <v>-1147.4745426812144</v>
      </c>
      <c r="I100" s="59">
        <f t="shared" si="19"/>
        <v>-2562.3403370933643</v>
      </c>
      <c r="J100" s="59">
        <f t="shared" si="19"/>
        <v>-2559.870074005868</v>
      </c>
      <c r="K100" s="59">
        <f t="shared" si="19"/>
        <v>-2559.1608217737894</v>
      </c>
      <c r="L100" s="59">
        <f t="shared" si="19"/>
        <v>-2560.3141174502102</v>
      </c>
      <c r="M100" s="59">
        <f t="shared" si="19"/>
        <v>-2563.4361596840608</v>
      </c>
      <c r="N100" s="59">
        <f t="shared" si="19"/>
        <v>-2568.6380097700649</v>
      </c>
      <c r="O100" s="59">
        <f t="shared" si="19"/>
        <v>-2576.0358011927883</v>
      </c>
      <c r="P100" s="59">
        <f t="shared" si="19"/>
        <v>-2585.7509580210854</v>
      </c>
      <c r="Q100" s="59">
        <f t="shared" si="19"/>
        <v>-2597.9104225241385</v>
      </c>
      <c r="R100" s="59">
        <f t="shared" si="19"/>
        <v>83387.353107604184</v>
      </c>
    </row>
    <row r="101" spans="3:18" x14ac:dyDescent="0.2"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</row>
    <row r="102" spans="3:18" x14ac:dyDescent="0.2">
      <c r="C102" s="1" t="s">
        <v>49</v>
      </c>
      <c r="D102" s="41">
        <f>IRR(D100:R100)</f>
        <v>0.15840239535695599</v>
      </c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</row>
  </sheetData>
  <phoneticPr fontId="8" type="noConversion"/>
  <pageMargins left="0" right="0" top="0.39370078740157483" bottom="0.39370078740157483" header="0.51181102362204722" footer="0.51181102362204722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8" type="noConversion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</vt:i4>
      </vt:variant>
    </vt:vector>
  </HeadingPairs>
  <TitlesOfParts>
    <vt:vector size="17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  <vt:lpstr>Feuil1!Zone_d_impression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Denos</dc:creator>
  <cp:lastModifiedBy>Florence</cp:lastModifiedBy>
  <cp:lastPrinted>2003-10-19T16:05:15Z</cp:lastPrinted>
  <dcterms:created xsi:type="dcterms:W3CDTF">1999-05-11T15:39:34Z</dcterms:created>
  <dcterms:modified xsi:type="dcterms:W3CDTF">2016-01-15T10:06:33Z</dcterms:modified>
</cp:coreProperties>
</file>