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9720" windowHeight="6990"/>
  </bookViews>
  <sheets>
    <sheet name="Feuil1" sheetId="1" r:id="rId1"/>
    <sheet name="Feuil2" sheetId="2" r:id="rId2"/>
    <sheet name="Feuil3" sheetId="3" r:id="rId3"/>
    <sheet name="Feuil4" sheetId="4" r:id="rId4"/>
    <sheet name="Feuil5" sheetId="5" r:id="rId5"/>
    <sheet name="Feuil6" sheetId="6" r:id="rId6"/>
    <sheet name="Feuil7" sheetId="7" r:id="rId7"/>
    <sheet name="Feuil8" sheetId="8" r:id="rId8"/>
    <sheet name="Feuil9" sheetId="9" r:id="rId9"/>
    <sheet name="Feuil10" sheetId="10" r:id="rId10"/>
    <sheet name="Feuil11" sheetId="11" r:id="rId11"/>
    <sheet name="Feuil12" sheetId="12" r:id="rId12"/>
    <sheet name="Feuil13" sheetId="13" r:id="rId13"/>
    <sheet name="Feuil14" sheetId="14" r:id="rId14"/>
    <sheet name="Feuil15" sheetId="15" r:id="rId15"/>
    <sheet name="Feuil16" sheetId="16" r:id="rId16"/>
  </sheets>
  <definedNames>
    <definedName name="_xlnm.Print_Area" localSheetId="0">Feuil1!$C$6:$R$125</definedName>
  </definedNames>
  <calcPr calcId="145621"/>
</workbook>
</file>

<file path=xl/calcChain.xml><?xml version="1.0" encoding="utf-8"?>
<calcChain xmlns="http://schemas.openxmlformats.org/spreadsheetml/2006/main">
  <c r="D100" i="1" l="1"/>
  <c r="D96" i="1"/>
  <c r="D102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E43" i="1"/>
  <c r="D66" i="1"/>
  <c r="E66" i="1"/>
  <c r="F66" i="1" s="1"/>
  <c r="R67" i="1"/>
  <c r="R80" i="1" s="1"/>
  <c r="E15" i="1"/>
  <c r="E20" i="1" s="1"/>
  <c r="E25" i="1" s="1"/>
  <c r="E16" i="1"/>
  <c r="E17" i="1"/>
  <c r="E33" i="1"/>
  <c r="Q67" i="1"/>
  <c r="Q80" i="1" s="1"/>
  <c r="P67" i="1"/>
  <c r="P80" i="1" s="1"/>
  <c r="O67" i="1"/>
  <c r="O80" i="1" s="1"/>
  <c r="N67" i="1"/>
  <c r="N80" i="1" s="1"/>
  <c r="M67" i="1"/>
  <c r="M80" i="1" s="1"/>
  <c r="L67" i="1"/>
  <c r="L80" i="1"/>
  <c r="K67" i="1"/>
  <c r="K80" i="1"/>
  <c r="J67" i="1"/>
  <c r="J80" i="1"/>
  <c r="I67" i="1"/>
  <c r="I80" i="1"/>
  <c r="H67" i="1"/>
  <c r="H80" i="1"/>
  <c r="G67" i="1"/>
  <c r="G80" i="1"/>
  <c r="F67" i="1"/>
  <c r="F80" i="1"/>
  <c r="E79" i="1"/>
  <c r="E82" i="1" s="1"/>
  <c r="E67" i="1"/>
  <c r="E80" i="1"/>
  <c r="D79" i="1"/>
  <c r="D82" i="1" s="1"/>
  <c r="E37" i="1"/>
  <c r="D80" i="1"/>
  <c r="D111" i="1"/>
  <c r="E111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D112" i="1"/>
  <c r="D67" i="1"/>
  <c r="D72" i="1"/>
  <c r="E72" i="1"/>
  <c r="F72" i="1"/>
  <c r="G72" i="1"/>
  <c r="D101" i="1"/>
  <c r="D104" i="1"/>
  <c r="E100" i="1" s="1"/>
  <c r="R105" i="1"/>
  <c r="E109" i="1"/>
  <c r="F109" i="1"/>
  <c r="G109" i="1" s="1"/>
  <c r="H109" i="1" s="1"/>
  <c r="I109" i="1" s="1"/>
  <c r="J109" i="1" s="1"/>
  <c r="K109" i="1" s="1"/>
  <c r="L109" i="1" s="1"/>
  <c r="M109" i="1" s="1"/>
  <c r="N109" i="1" s="1"/>
  <c r="O109" i="1" s="1"/>
  <c r="P109" i="1" s="1"/>
  <c r="Q109" i="1" s="1"/>
  <c r="R109" i="1" s="1"/>
  <c r="M43" i="1"/>
  <c r="H43" i="1"/>
  <c r="R116" i="1"/>
  <c r="D110" i="1"/>
  <c r="E99" i="1"/>
  <c r="F99" i="1"/>
  <c r="G99" i="1" s="1"/>
  <c r="H99" i="1" s="1"/>
  <c r="I99" i="1" s="1"/>
  <c r="J99" i="1" s="1"/>
  <c r="K99" i="1" s="1"/>
  <c r="L99" i="1" s="1"/>
  <c r="M99" i="1" s="1"/>
  <c r="N99" i="1" s="1"/>
  <c r="O99" i="1" s="1"/>
  <c r="P99" i="1" s="1"/>
  <c r="Q99" i="1" s="1"/>
  <c r="R99" i="1" s="1"/>
  <c r="E50" i="1"/>
  <c r="F50" i="1"/>
  <c r="G50" i="1" s="1"/>
  <c r="H50" i="1" s="1"/>
  <c r="I50" i="1" s="1"/>
  <c r="J50" i="1" s="1"/>
  <c r="K50" i="1" s="1"/>
  <c r="L50" i="1" s="1"/>
  <c r="M50" i="1" s="1"/>
  <c r="N50" i="1" s="1"/>
  <c r="O50" i="1" s="1"/>
  <c r="P50" i="1" s="1"/>
  <c r="Q50" i="1" s="1"/>
  <c r="R50" i="1" s="1"/>
  <c r="T83" i="1"/>
  <c r="T85" i="1"/>
  <c r="T84" i="1"/>
  <c r="E63" i="1"/>
  <c r="F63" i="1"/>
  <c r="G63" i="1" s="1"/>
  <c r="H63" i="1" s="1"/>
  <c r="I63" i="1" s="1"/>
  <c r="J63" i="1" s="1"/>
  <c r="K63" i="1" s="1"/>
  <c r="L63" i="1" s="1"/>
  <c r="M63" i="1" s="1"/>
  <c r="N63" i="1" s="1"/>
  <c r="O63" i="1" s="1"/>
  <c r="P63" i="1" s="1"/>
  <c r="Q63" i="1" s="1"/>
  <c r="R63" i="1" s="1"/>
  <c r="E26" i="1"/>
  <c r="T87" i="1"/>
  <c r="E102" i="1" l="1"/>
  <c r="E104" i="1" s="1"/>
  <c r="F100" i="1" s="1"/>
  <c r="L51" i="1"/>
  <c r="K51" i="1"/>
  <c r="J51" i="1"/>
  <c r="I51" i="1"/>
  <c r="H51" i="1"/>
  <c r="G51" i="1"/>
  <c r="F51" i="1"/>
  <c r="E51" i="1"/>
  <c r="D51" i="1"/>
  <c r="R51" i="1"/>
  <c r="Q51" i="1"/>
  <c r="P51" i="1"/>
  <c r="O51" i="1"/>
  <c r="N51" i="1"/>
  <c r="M51" i="1"/>
  <c r="G66" i="1"/>
  <c r="F79" i="1"/>
  <c r="F104" i="1" l="1"/>
  <c r="G100" i="1" s="1"/>
  <c r="F102" i="1"/>
  <c r="H66" i="1"/>
  <c r="G79" i="1"/>
  <c r="O81" i="1"/>
  <c r="O53" i="1"/>
  <c r="O68" i="1" s="1"/>
  <c r="Q81" i="1"/>
  <c r="Q53" i="1"/>
  <c r="Q68" i="1" s="1"/>
  <c r="F53" i="1"/>
  <c r="F68" i="1" s="1"/>
  <c r="F70" i="1" s="1"/>
  <c r="F81" i="1"/>
  <c r="J53" i="1"/>
  <c r="J68" i="1" s="1"/>
  <c r="J81" i="1"/>
  <c r="L53" i="1"/>
  <c r="L68" i="1" s="1"/>
  <c r="L81" i="1"/>
  <c r="F82" i="1"/>
  <c r="F86" i="1"/>
  <c r="N81" i="1"/>
  <c r="N53" i="1"/>
  <c r="N68" i="1" s="1"/>
  <c r="P81" i="1"/>
  <c r="P53" i="1"/>
  <c r="P68" i="1" s="1"/>
  <c r="R81" i="1"/>
  <c r="R53" i="1"/>
  <c r="R68" i="1" s="1"/>
  <c r="E53" i="1"/>
  <c r="E68" i="1" s="1"/>
  <c r="E70" i="1" s="1"/>
  <c r="E81" i="1"/>
  <c r="E86" i="1" s="1"/>
  <c r="G53" i="1"/>
  <c r="G68" i="1" s="1"/>
  <c r="G70" i="1" s="1"/>
  <c r="G81" i="1"/>
  <c r="I81" i="1"/>
  <c r="I53" i="1"/>
  <c r="I68" i="1" s="1"/>
  <c r="K81" i="1"/>
  <c r="K53" i="1"/>
  <c r="K68" i="1" s="1"/>
  <c r="M81" i="1"/>
  <c r="M53" i="1"/>
  <c r="M68" i="1" s="1"/>
  <c r="D53" i="1"/>
  <c r="D68" i="1" s="1"/>
  <c r="D81" i="1"/>
  <c r="H53" i="1"/>
  <c r="H68" i="1" s="1"/>
  <c r="H81" i="1"/>
  <c r="T68" i="1" l="1"/>
  <c r="D70" i="1"/>
  <c r="D86" i="1"/>
  <c r="T81" i="1"/>
  <c r="E73" i="1"/>
  <c r="E74" i="1" s="1"/>
  <c r="E113" i="1" s="1"/>
  <c r="E117" i="1" s="1"/>
  <c r="E88" i="1"/>
  <c r="F73" i="1"/>
  <c r="F74" i="1" s="1"/>
  <c r="F113" i="1" s="1"/>
  <c r="F117" i="1" s="1"/>
  <c r="F88" i="1"/>
  <c r="G82" i="1"/>
  <c r="G86" i="1" s="1"/>
  <c r="H70" i="1"/>
  <c r="I66" i="1"/>
  <c r="H79" i="1"/>
  <c r="G102" i="1"/>
  <c r="G104" i="1"/>
  <c r="H100" i="1" s="1"/>
  <c r="G73" i="1" l="1"/>
  <c r="G74" i="1" s="1"/>
  <c r="G113" i="1" s="1"/>
  <c r="G117" i="1" s="1"/>
  <c r="G88" i="1"/>
  <c r="D73" i="1"/>
  <c r="D88" i="1"/>
  <c r="J66" i="1"/>
  <c r="I79" i="1"/>
  <c r="I70" i="1"/>
  <c r="H102" i="1"/>
  <c r="H104" i="1" s="1"/>
  <c r="I100" i="1" s="1"/>
  <c r="H82" i="1"/>
  <c r="H86" i="1"/>
  <c r="D74" i="1"/>
  <c r="D113" i="1" s="1"/>
  <c r="D117" i="1" s="1"/>
  <c r="I102" i="1" l="1"/>
  <c r="I104" i="1"/>
  <c r="J100" i="1" s="1"/>
  <c r="I82" i="1"/>
  <c r="I86" i="1" s="1"/>
  <c r="H73" i="1"/>
  <c r="H74" i="1" s="1"/>
  <c r="H113" i="1" s="1"/>
  <c r="H117" i="1" s="1"/>
  <c r="H88" i="1"/>
  <c r="J70" i="1"/>
  <c r="K66" i="1"/>
  <c r="J79" i="1"/>
  <c r="I73" i="1" l="1"/>
  <c r="I74" i="1" s="1"/>
  <c r="I113" i="1" s="1"/>
  <c r="I117" i="1" s="1"/>
  <c r="I88" i="1"/>
  <c r="L66" i="1"/>
  <c r="K79" i="1"/>
  <c r="K70" i="1"/>
  <c r="J82" i="1"/>
  <c r="J86" i="1" s="1"/>
  <c r="J102" i="1"/>
  <c r="J104" i="1" s="1"/>
  <c r="K100" i="1" s="1"/>
  <c r="J73" i="1" l="1"/>
  <c r="J74" i="1" s="1"/>
  <c r="J113" i="1" s="1"/>
  <c r="J117" i="1" s="1"/>
  <c r="J88" i="1"/>
  <c r="K102" i="1"/>
  <c r="K104" i="1" s="1"/>
  <c r="L100" i="1" s="1"/>
  <c r="L70" i="1"/>
  <c r="M66" i="1"/>
  <c r="L79" i="1"/>
  <c r="K82" i="1"/>
  <c r="K86" i="1" s="1"/>
  <c r="K73" i="1" l="1"/>
  <c r="K74" i="1" s="1"/>
  <c r="K113" i="1" s="1"/>
  <c r="K117" i="1" s="1"/>
  <c r="K88" i="1"/>
  <c r="L104" i="1"/>
  <c r="M100" i="1" s="1"/>
  <c r="L102" i="1"/>
  <c r="N66" i="1"/>
  <c r="M79" i="1"/>
  <c r="M70" i="1"/>
  <c r="L82" i="1"/>
  <c r="L86" i="1"/>
  <c r="L73" i="1" l="1"/>
  <c r="L74" i="1" s="1"/>
  <c r="L113" i="1" s="1"/>
  <c r="L117" i="1" s="1"/>
  <c r="L88" i="1"/>
  <c r="M102" i="1"/>
  <c r="M104" i="1"/>
  <c r="N100" i="1" s="1"/>
  <c r="M82" i="1"/>
  <c r="M86" i="1"/>
  <c r="O66" i="1"/>
  <c r="N79" i="1"/>
  <c r="N70" i="1"/>
  <c r="P66" i="1" l="1"/>
  <c r="O79" i="1"/>
  <c r="O70" i="1"/>
  <c r="M73" i="1"/>
  <c r="M74" i="1" s="1"/>
  <c r="M113" i="1" s="1"/>
  <c r="M117" i="1" s="1"/>
  <c r="M88" i="1"/>
  <c r="N104" i="1"/>
  <c r="O100" i="1" s="1"/>
  <c r="N102" i="1"/>
  <c r="N82" i="1"/>
  <c r="N86" i="1" s="1"/>
  <c r="N73" i="1" l="1"/>
  <c r="N74" i="1" s="1"/>
  <c r="N113" i="1" s="1"/>
  <c r="N117" i="1" s="1"/>
  <c r="N88" i="1"/>
  <c r="O102" i="1"/>
  <c r="O104" i="1"/>
  <c r="P100" i="1" s="1"/>
  <c r="O82" i="1"/>
  <c r="O86" i="1"/>
  <c r="Q66" i="1"/>
  <c r="P79" i="1"/>
  <c r="P70" i="1"/>
  <c r="R66" i="1" l="1"/>
  <c r="Q79" i="1"/>
  <c r="Q70" i="1"/>
  <c r="O73" i="1"/>
  <c r="O74" i="1" s="1"/>
  <c r="O113" i="1" s="1"/>
  <c r="O117" i="1" s="1"/>
  <c r="O88" i="1"/>
  <c r="P102" i="1"/>
  <c r="P104" i="1" s="1"/>
  <c r="Q100" i="1" s="1"/>
  <c r="P82" i="1"/>
  <c r="P86" i="1"/>
  <c r="Q102" i="1" l="1"/>
  <c r="Q104" i="1"/>
  <c r="R100" i="1" s="1"/>
  <c r="P73" i="1"/>
  <c r="P74" i="1" s="1"/>
  <c r="P113" i="1" s="1"/>
  <c r="P117" i="1" s="1"/>
  <c r="P88" i="1"/>
  <c r="R79" i="1"/>
  <c r="R70" i="1"/>
  <c r="Q82" i="1"/>
  <c r="Q86" i="1" s="1"/>
  <c r="Q73" i="1" l="1"/>
  <c r="Q74" i="1" s="1"/>
  <c r="Q113" i="1" s="1"/>
  <c r="Q117" i="1" s="1"/>
  <c r="Q88" i="1"/>
  <c r="R82" i="1"/>
  <c r="T82" i="1" s="1"/>
  <c r="R86" i="1"/>
  <c r="R102" i="1"/>
  <c r="R103" i="1" s="1"/>
  <c r="R73" i="1" l="1"/>
  <c r="R74" i="1" s="1"/>
  <c r="R113" i="1" s="1"/>
  <c r="R88" i="1"/>
  <c r="T88" i="1" s="1"/>
  <c r="R104" i="1"/>
  <c r="R115" i="1" s="1"/>
  <c r="R117" i="1" l="1"/>
  <c r="D119" i="1" s="1"/>
</calcChain>
</file>

<file path=xl/sharedStrings.xml><?xml version="1.0" encoding="utf-8"?>
<sst xmlns="http://schemas.openxmlformats.org/spreadsheetml/2006/main" count="83" uniqueCount="75">
  <si>
    <t>La SCI achète :</t>
  </si>
  <si>
    <t>Soit un budget total de</t>
  </si>
  <si>
    <t>La SCI contracte un emprunt pour le solde</t>
  </si>
  <si>
    <t>Soit un financement total de</t>
  </si>
  <si>
    <t>Durée en années</t>
  </si>
  <si>
    <t>Tableau de remboursement de l'emprunt</t>
  </si>
  <si>
    <t>Années</t>
  </si>
  <si>
    <t>Total</t>
  </si>
  <si>
    <t>Intérêts</t>
  </si>
  <si>
    <t>Capital</t>
  </si>
  <si>
    <t>Décaissement total</t>
  </si>
  <si>
    <t>En trésorerie</t>
  </si>
  <si>
    <t>Loyers</t>
  </si>
  <si>
    <t xml:space="preserve">Charges </t>
  </si>
  <si>
    <t>Emprunt</t>
  </si>
  <si>
    <t>En résultat</t>
  </si>
  <si>
    <t>Charges</t>
  </si>
  <si>
    <t>Intérêts sur emprunt</t>
  </si>
  <si>
    <t>Déficits reportables</t>
  </si>
  <si>
    <t xml:space="preserve">  - et devra payer les frais notariés</t>
  </si>
  <si>
    <t xml:space="preserve">Les associés apportent en numéraire </t>
  </si>
  <si>
    <t>Caractéristiques de l'appartement</t>
  </si>
  <si>
    <t xml:space="preserve">  - un appartement HT tout équipé</t>
  </si>
  <si>
    <t>Taux de rendement</t>
  </si>
  <si>
    <t>Réduction d'impôt ZRR</t>
  </si>
  <si>
    <t>Net</t>
  </si>
  <si>
    <t>Assurance-vie</t>
  </si>
  <si>
    <t>Taux</t>
  </si>
  <si>
    <t>Capital début</t>
  </si>
  <si>
    <t>Capital fin</t>
  </si>
  <si>
    <t>Taxe foncière annuelle</t>
  </si>
  <si>
    <t>Syndic annuel</t>
  </si>
  <si>
    <t>(exonération les deux premières années)</t>
  </si>
  <si>
    <t>Epargne annuelle de fin d'année</t>
  </si>
  <si>
    <t>Capital initial</t>
  </si>
  <si>
    <t>TRI net d'impôt</t>
  </si>
  <si>
    <t xml:space="preserve">  - avec une TVA récupérable</t>
  </si>
  <si>
    <t>Trésorerie du montage</t>
  </si>
  <si>
    <t>TVA récupérable</t>
  </si>
  <si>
    <t>TRI</t>
  </si>
  <si>
    <t>Valeur du bien TTC</t>
  </si>
  <si>
    <t>Indice construction</t>
  </si>
  <si>
    <t>taux variable</t>
  </si>
  <si>
    <t>ADI</t>
  </si>
  <si>
    <t>Taux variable hors ADI</t>
  </si>
  <si>
    <t>Droits d'entrée</t>
  </si>
  <si>
    <t>Prélèvements sociaux (10 %)</t>
  </si>
  <si>
    <t>Frais de gestion annuel</t>
  </si>
  <si>
    <t>Intérêts nets de frais de gestion</t>
  </si>
  <si>
    <t>Taux net de frais de gestion</t>
  </si>
  <si>
    <t>Abondement annuel</t>
  </si>
  <si>
    <t>Frais de dossier</t>
  </si>
  <si>
    <t>Trésorerie assurance-vie</t>
  </si>
  <si>
    <t>Caution crédit-logement</t>
  </si>
  <si>
    <t>Frais de nantissement</t>
  </si>
  <si>
    <t>Annuel</t>
  </si>
  <si>
    <r>
      <t xml:space="preserve">Caractéristiques de l'emprunt </t>
    </r>
    <r>
      <rPr>
        <b/>
        <i/>
        <sz val="10"/>
        <rFont val="Arial"/>
        <family val="2"/>
      </rPr>
      <t>in fine</t>
    </r>
  </si>
  <si>
    <t xml:space="preserve">Le plan de financement, le compte de résultat prévisionnel </t>
  </si>
  <si>
    <t xml:space="preserve">Plan de financement et compte de résultat prévisionnel </t>
  </si>
  <si>
    <t>IR sur revenus fonciers</t>
  </si>
  <si>
    <r>
      <t>Trésorerie annuelle</t>
    </r>
    <r>
      <rPr>
        <sz val="10"/>
        <rFont val="Arial"/>
      </rPr>
      <t xml:space="preserve"> </t>
    </r>
  </si>
  <si>
    <t xml:space="preserve">Loyers </t>
  </si>
  <si>
    <t>Taux marginal d'imposition (TMI)</t>
  </si>
  <si>
    <r>
      <t>Besoins de financement de la SCI</t>
    </r>
    <r>
      <rPr>
        <sz val="10"/>
        <rFont val="Arial"/>
      </rPr>
      <t xml:space="preserve"> ( en K, € )</t>
    </r>
  </si>
  <si>
    <r>
      <t xml:space="preserve">Mode de financement de la SCI </t>
    </r>
    <r>
      <rPr>
        <sz val="10"/>
        <rFont val="Arial"/>
      </rPr>
      <t>(en K € )</t>
    </r>
  </si>
  <si>
    <t>Déduction de 6 % puis 14 %</t>
  </si>
  <si>
    <r>
      <t xml:space="preserve">Capital </t>
    </r>
    <r>
      <rPr>
        <b/>
        <i/>
        <sz val="10"/>
        <rFont val="Arial"/>
        <family val="2"/>
      </rPr>
      <t>in-fine</t>
    </r>
    <r>
      <rPr>
        <b/>
        <sz val="10"/>
        <rFont val="Arial"/>
      </rPr>
      <t xml:space="preserve"> à rembourser</t>
    </r>
  </si>
  <si>
    <t>Economie réservation</t>
  </si>
  <si>
    <t>Prêt in fine et récupération de la TVA</t>
  </si>
  <si>
    <t xml:space="preserve">Attention ! Il s’agit d’une simple feuille de calcul Excel et non d’une application informatique sécurisée. </t>
  </si>
  <si>
    <t>Vous devez donc valider les chiffres saisis.</t>
  </si>
  <si>
    <t>Loyer net de frais de gestion</t>
  </si>
  <si>
    <t>Mensuel</t>
  </si>
  <si>
    <t xml:space="preserve">Résultat net </t>
  </si>
  <si>
    <t>et le taux de rentabilité interne d’un investissement Demessine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</si>
</sst>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#,##0\ &quot;€&quot;;[Red]\-#,##0\ &quot;€&quot;"/>
    <numFmt numFmtId="174" formatCode="0.0"/>
    <numFmt numFmtId="175" formatCode="#,##0.0"/>
    <numFmt numFmtId="176" formatCode="0.0%"/>
    <numFmt numFmtId="177" formatCode="_-* #,##0.00\ [$€]_-;\-* #,##0.00\ [$€]_-;_-* &quot;-&quot;??\ [$€]_-;_-@_-"/>
    <numFmt numFmtId="181" formatCode="#,##0\ &quot;€&quot;"/>
    <numFmt numFmtId="183" formatCode="0.000"/>
  </numFmts>
  <fonts count="15" x14ac:knownFonts="1">
    <font>
      <sz val="10"/>
      <name val="Arial"/>
    </font>
    <font>
      <b/>
      <sz val="10"/>
      <name val="Arial"/>
    </font>
    <font>
      <i/>
      <sz val="10"/>
      <name val="Arial"/>
    </font>
    <font>
      <b/>
      <i/>
      <sz val="10"/>
      <name val="Arial"/>
    </font>
    <font>
      <sz val="10"/>
      <name val="Arial"/>
    </font>
    <font>
      <sz val="8"/>
      <name val="Arial"/>
    </font>
    <font>
      <sz val="10"/>
      <name val="Arial"/>
    </font>
    <font>
      <i/>
      <sz val="8"/>
      <name val="Arial"/>
    </font>
    <font>
      <sz val="10"/>
      <name val="Arial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b/>
      <sz val="12"/>
      <color indexed="10"/>
      <name val="Times New Roman"/>
      <family val="1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lightGray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/>
    <xf numFmtId="177" fontId="4" fillId="0" borderId="0" applyFont="0" applyFill="0" applyBorder="0" applyAlignment="0" applyProtection="0"/>
  </cellStyleXfs>
  <cellXfs count="86">
    <xf numFmtId="0" fontId="0" fillId="0" borderId="0" xfId="0"/>
    <xf numFmtId="0" fontId="1" fillId="0" borderId="0" xfId="0" applyFont="1"/>
    <xf numFmtId="0" fontId="4" fillId="0" borderId="0" xfId="0" applyFont="1"/>
    <xf numFmtId="14" fontId="5" fillId="0" borderId="0" xfId="0" applyNumberFormat="1" applyFont="1"/>
    <xf numFmtId="0" fontId="6" fillId="0" borderId="0" xfId="0" applyFont="1"/>
    <xf numFmtId="0" fontId="1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0" borderId="4" xfId="0" applyFont="1" applyBorder="1"/>
    <xf numFmtId="0" fontId="4" fillId="0" borderId="5" xfId="0" applyFont="1" applyBorder="1"/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2" fillId="0" borderId="0" xfId="0" applyFont="1" applyAlignment="1">
      <alignment horizontal="center"/>
    </xf>
    <xf numFmtId="0" fontId="2" fillId="0" borderId="0" xfId="0" applyFont="1"/>
    <xf numFmtId="174" fontId="4" fillId="0" borderId="9" xfId="0" applyNumberFormat="1" applyFont="1" applyBorder="1"/>
    <xf numFmtId="1" fontId="4" fillId="0" borderId="0" xfId="0" applyNumberFormat="1" applyFont="1"/>
    <xf numFmtId="174" fontId="4" fillId="0" borderId="6" xfId="0" applyNumberFormat="1" applyFont="1" applyBorder="1"/>
    <xf numFmtId="0" fontId="4" fillId="0" borderId="10" xfId="0" applyFont="1" applyBorder="1"/>
    <xf numFmtId="0" fontId="4" fillId="0" borderId="11" xfId="0" applyFont="1" applyBorder="1"/>
    <xf numFmtId="174" fontId="4" fillId="0" borderId="12" xfId="0" applyNumberFormat="1" applyFont="1" applyBorder="1"/>
    <xf numFmtId="0" fontId="1" fillId="0" borderId="1" xfId="0" applyFont="1" applyBorder="1"/>
    <xf numFmtId="0" fontId="4" fillId="0" borderId="3" xfId="0" applyFont="1" applyBorder="1"/>
    <xf numFmtId="174" fontId="1" fillId="0" borderId="13" xfId="0" applyNumberFormat="1" applyFont="1" applyBorder="1"/>
    <xf numFmtId="174" fontId="4" fillId="0" borderId="0" xfId="0" applyNumberFormat="1" applyFont="1"/>
    <xf numFmtId="174" fontId="4" fillId="2" borderId="3" xfId="0" applyNumberFormat="1" applyFont="1" applyFill="1" applyBorder="1"/>
    <xf numFmtId="183" fontId="4" fillId="0" borderId="0" xfId="0" applyNumberFormat="1" applyFont="1"/>
    <xf numFmtId="10" fontId="4" fillId="0" borderId="0" xfId="0" applyNumberFormat="1" applyFont="1"/>
    <xf numFmtId="0" fontId="3" fillId="0" borderId="0" xfId="0" applyFont="1"/>
    <xf numFmtId="10" fontId="4" fillId="0" borderId="14" xfId="0" applyNumberFormat="1" applyFont="1" applyBorder="1"/>
    <xf numFmtId="181" fontId="4" fillId="0" borderId="0" xfId="0" applyNumberFormat="1" applyFont="1"/>
    <xf numFmtId="6" fontId="4" fillId="0" borderId="0" xfId="0" applyNumberFormat="1" applyFont="1"/>
    <xf numFmtId="0" fontId="7" fillId="0" borderId="0" xfId="0" applyFont="1"/>
    <xf numFmtId="0" fontId="8" fillId="0" borderId="0" xfId="0" applyFont="1"/>
    <xf numFmtId="6" fontId="8" fillId="0" borderId="14" xfId="0" applyNumberFormat="1" applyFont="1" applyBorder="1"/>
    <xf numFmtId="3" fontId="4" fillId="0" borderId="0" xfId="0" applyNumberFormat="1" applyFont="1"/>
    <xf numFmtId="0" fontId="1" fillId="0" borderId="13" xfId="0" applyFont="1" applyBorder="1" applyAlignment="1">
      <alignment horizontal="center"/>
    </xf>
    <xf numFmtId="0" fontId="4" fillId="0" borderId="6" xfId="0" applyFont="1" applyBorder="1"/>
    <xf numFmtId="3" fontId="4" fillId="0" borderId="6" xfId="0" applyNumberFormat="1" applyFont="1" applyBorder="1"/>
    <xf numFmtId="0" fontId="4" fillId="0" borderId="12" xfId="0" applyFont="1" applyBorder="1"/>
    <xf numFmtId="3" fontId="4" fillId="0" borderId="9" xfId="0" applyNumberFormat="1" applyFont="1" applyBorder="1"/>
    <xf numFmtId="0" fontId="4" fillId="0" borderId="13" xfId="0" applyFont="1" applyBorder="1"/>
    <xf numFmtId="3" fontId="4" fillId="0" borderId="13" xfId="0" applyNumberFormat="1" applyFont="1" applyBorder="1"/>
    <xf numFmtId="0" fontId="3" fillId="0" borderId="9" xfId="0" applyFont="1" applyBorder="1"/>
    <xf numFmtId="0" fontId="1" fillId="0" borderId="9" xfId="0" applyFont="1" applyBorder="1"/>
    <xf numFmtId="3" fontId="1" fillId="0" borderId="6" xfId="0" applyNumberFormat="1" applyFont="1" applyBorder="1"/>
    <xf numFmtId="1" fontId="1" fillId="0" borderId="0" xfId="0" applyNumberFormat="1" applyFont="1"/>
    <xf numFmtId="0" fontId="1" fillId="0" borderId="12" xfId="0" applyFont="1" applyBorder="1"/>
    <xf numFmtId="3" fontId="1" fillId="0" borderId="12" xfId="0" applyNumberFormat="1" applyFont="1" applyBorder="1"/>
    <xf numFmtId="1" fontId="1" fillId="0" borderId="0" xfId="0" applyNumberFormat="1" applyFont="1" applyBorder="1"/>
    <xf numFmtId="3" fontId="1" fillId="0" borderId="9" xfId="0" applyNumberFormat="1" applyFont="1" applyBorder="1"/>
    <xf numFmtId="3" fontId="1" fillId="0" borderId="13" xfId="0" applyNumberFormat="1" applyFont="1" applyBorder="1"/>
    <xf numFmtId="3" fontId="1" fillId="0" borderId="14" xfId="0" applyNumberFormat="1" applyFont="1" applyBorder="1"/>
    <xf numFmtId="175" fontId="4" fillId="0" borderId="0" xfId="0" applyNumberFormat="1" applyFont="1"/>
    <xf numFmtId="4" fontId="4" fillId="0" borderId="0" xfId="0" applyNumberFormat="1" applyFont="1"/>
    <xf numFmtId="0" fontId="1" fillId="0" borderId="6" xfId="0" applyFont="1" applyBorder="1" applyAlignment="1">
      <alignment horizontal="center"/>
    </xf>
    <xf numFmtId="174" fontId="4" fillId="0" borderId="1" xfId="0" applyNumberFormat="1" applyFont="1" applyBorder="1"/>
    <xf numFmtId="174" fontId="4" fillId="0" borderId="13" xfId="0" applyNumberFormat="1" applyFont="1" applyBorder="1"/>
    <xf numFmtId="174" fontId="1" fillId="0" borderId="0" xfId="0" applyNumberFormat="1" applyFont="1"/>
    <xf numFmtId="9" fontId="4" fillId="0" borderId="0" xfId="0" applyNumberFormat="1" applyFont="1"/>
    <xf numFmtId="176" fontId="1" fillId="0" borderId="0" xfId="0" applyNumberFormat="1" applyFont="1"/>
    <xf numFmtId="1" fontId="4" fillId="0" borderId="0" xfId="0" applyNumberFormat="1" applyFont="1" applyBorder="1"/>
    <xf numFmtId="0" fontId="9" fillId="0" borderId="0" xfId="0" applyFont="1"/>
    <xf numFmtId="174" fontId="9" fillId="0" borderId="0" xfId="0" applyNumberFormat="1" applyFont="1"/>
    <xf numFmtId="0" fontId="1" fillId="3" borderId="13" xfId="0" applyFont="1" applyFill="1" applyBorder="1" applyAlignment="1">
      <alignment horizontal="center"/>
    </xf>
    <xf numFmtId="0" fontId="11" fillId="0" borderId="0" xfId="0" applyFont="1" applyAlignment="1"/>
    <xf numFmtId="6" fontId="8" fillId="0" borderId="0" xfId="0" applyNumberFormat="1" applyFont="1" applyBorder="1"/>
    <xf numFmtId="9" fontId="8" fillId="0" borderId="0" xfId="0" applyNumberFormat="1" applyFont="1" applyBorder="1"/>
    <xf numFmtId="0" fontId="12" fillId="0" borderId="0" xfId="0" applyFont="1"/>
    <xf numFmtId="176" fontId="4" fillId="0" borderId="0" xfId="0" applyNumberFormat="1" applyFont="1"/>
    <xf numFmtId="176" fontId="4" fillId="0" borderId="14" xfId="0" applyNumberFormat="1" applyFont="1" applyBorder="1"/>
    <xf numFmtId="0" fontId="10" fillId="0" borderId="0" xfId="0" applyFont="1"/>
    <xf numFmtId="0" fontId="13" fillId="0" borderId="0" xfId="0" applyFont="1"/>
    <xf numFmtId="0" fontId="14" fillId="0" borderId="0" xfId="0" applyFont="1"/>
    <xf numFmtId="0" fontId="1" fillId="0" borderId="15" xfId="0" applyFont="1" applyBorder="1"/>
    <xf numFmtId="0" fontId="4" fillId="0" borderId="16" xfId="0" applyFont="1" applyBorder="1"/>
    <xf numFmtId="0" fontId="9" fillId="0" borderId="16" xfId="0" applyFont="1" applyBorder="1"/>
    <xf numFmtId="0" fontId="4" fillId="0" borderId="17" xfId="0" applyFont="1" applyBorder="1"/>
    <xf numFmtId="0" fontId="4" fillId="0" borderId="18" xfId="0" applyFont="1" applyBorder="1"/>
    <xf numFmtId="0" fontId="4" fillId="0" borderId="19" xfId="0" applyFont="1" applyBorder="1"/>
    <xf numFmtId="181" fontId="4" fillId="0" borderId="19" xfId="0" applyNumberFormat="1" applyFont="1" applyBorder="1"/>
    <xf numFmtId="10" fontId="4" fillId="0" borderId="19" xfId="0" applyNumberFormat="1" applyFont="1" applyBorder="1"/>
    <xf numFmtId="0" fontId="4" fillId="0" borderId="20" xfId="0" applyFont="1" applyBorder="1"/>
  </cellXfs>
  <cellStyles count="2">
    <cellStyle name="Euro" xfId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U125"/>
  <sheetViews>
    <sheetView tabSelected="1" topLeftCell="A93" workbookViewId="0">
      <selection activeCell="U111" sqref="U111:U112"/>
    </sheetView>
  </sheetViews>
  <sheetFormatPr baseColWidth="10" defaultRowHeight="12.75" x14ac:dyDescent="0.2"/>
  <cols>
    <col min="1" max="1" width="11.42578125" style="2"/>
    <col min="2" max="2" width="4" style="2" customWidth="1"/>
    <col min="3" max="3" width="29.140625" style="2" customWidth="1"/>
    <col min="4" max="8" width="7.7109375" style="2" customWidth="1"/>
    <col min="9" max="12" width="7.7109375" style="2" hidden="1" customWidth="1"/>
    <col min="13" max="13" width="7.7109375" style="2" customWidth="1"/>
    <col min="14" max="16" width="7.7109375" style="2" hidden="1" customWidth="1"/>
    <col min="17" max="19" width="7.7109375" style="2" customWidth="1"/>
    <col min="20" max="20" width="5.85546875" style="2" customWidth="1"/>
    <col min="21" max="21" width="6.7109375" style="2" customWidth="1"/>
    <col min="22" max="16384" width="11.42578125" style="2"/>
  </cols>
  <sheetData>
    <row r="2" spans="3:13" ht="15.75" x14ac:dyDescent="0.25">
      <c r="C2" s="68" t="s">
        <v>57</v>
      </c>
    </row>
    <row r="3" spans="3:13" ht="15.75" x14ac:dyDescent="0.25">
      <c r="C3" s="68" t="s">
        <v>74</v>
      </c>
    </row>
    <row r="4" spans="3:13" x14ac:dyDescent="0.2">
      <c r="C4" s="74" t="s">
        <v>68</v>
      </c>
    </row>
    <row r="5" spans="3:13" x14ac:dyDescent="0.2">
      <c r="C5" s="74"/>
    </row>
    <row r="6" spans="3:13" ht="15.75" x14ac:dyDescent="0.25">
      <c r="C6" s="75" t="s">
        <v>69</v>
      </c>
    </row>
    <row r="7" spans="3:13" s="4" customFormat="1" x14ac:dyDescent="0.2">
      <c r="C7" s="76" t="s">
        <v>70</v>
      </c>
      <c r="D7" s="2"/>
      <c r="E7" s="3"/>
    </row>
    <row r="8" spans="3:13" x14ac:dyDescent="0.2">
      <c r="C8" s="1"/>
    </row>
    <row r="10" spans="3:13" x14ac:dyDescent="0.2">
      <c r="C10" s="5" t="s">
        <v>63</v>
      </c>
      <c r="D10" s="6"/>
      <c r="E10" s="7"/>
    </row>
    <row r="11" spans="3:13" x14ac:dyDescent="0.2">
      <c r="C11" s="8"/>
      <c r="D11" s="9"/>
      <c r="E11" s="10"/>
      <c r="G11" s="11"/>
      <c r="H11" s="12"/>
    </row>
    <row r="12" spans="3:13" x14ac:dyDescent="0.2">
      <c r="C12" s="13" t="s">
        <v>0</v>
      </c>
      <c r="D12" s="14"/>
      <c r="E12" s="15"/>
      <c r="H12" s="16"/>
      <c r="I12" s="16"/>
      <c r="M12" s="17"/>
    </row>
    <row r="13" spans="3:13" x14ac:dyDescent="0.2">
      <c r="C13" s="13" t="s">
        <v>22</v>
      </c>
      <c r="D13" s="14"/>
      <c r="E13" s="18">
        <v>107.236</v>
      </c>
      <c r="G13" s="19"/>
      <c r="H13" s="19"/>
      <c r="I13" s="19"/>
      <c r="M13" s="19"/>
    </row>
    <row r="14" spans="3:13" hidden="1" x14ac:dyDescent="0.2">
      <c r="C14" s="13"/>
      <c r="D14" s="14"/>
      <c r="E14" s="18">
        <v>0</v>
      </c>
    </row>
    <row r="15" spans="3:13" hidden="1" x14ac:dyDescent="0.2">
      <c r="C15" s="13"/>
      <c r="D15" s="14"/>
      <c r="E15" s="20">
        <f>+E13+E14</f>
        <v>107.236</v>
      </c>
    </row>
    <row r="16" spans="3:13" x14ac:dyDescent="0.2">
      <c r="C16" s="13" t="s">
        <v>36</v>
      </c>
      <c r="D16" s="14"/>
      <c r="E16" s="18">
        <f>+E13*0.196</f>
        <v>21.018256000000001</v>
      </c>
      <c r="H16" s="19"/>
      <c r="I16" s="19"/>
      <c r="M16" s="19"/>
    </row>
    <row r="17" spans="3:13" x14ac:dyDescent="0.2">
      <c r="C17" s="13" t="s">
        <v>19</v>
      </c>
      <c r="D17" s="14"/>
      <c r="E17" s="18">
        <f>3521.96/1000</f>
        <v>3.52196</v>
      </c>
    </row>
    <row r="18" spans="3:13" hidden="1" x14ac:dyDescent="0.2">
      <c r="C18" s="13"/>
      <c r="D18" s="14"/>
      <c r="E18" s="18"/>
    </row>
    <row r="19" spans="3:13" x14ac:dyDescent="0.2">
      <c r="C19" s="21"/>
      <c r="D19" s="22"/>
      <c r="E19" s="23"/>
    </row>
    <row r="20" spans="3:13" x14ac:dyDescent="0.2">
      <c r="C20" s="24" t="s">
        <v>1</v>
      </c>
      <c r="D20" s="25"/>
      <c r="E20" s="26">
        <f>SUM(E15:E19)</f>
        <v>131.77621600000001</v>
      </c>
    </row>
    <row r="21" spans="3:13" hidden="1" x14ac:dyDescent="0.2">
      <c r="C21" s="17"/>
      <c r="E21" s="27"/>
    </row>
    <row r="22" spans="3:13" x14ac:dyDescent="0.2">
      <c r="E22" s="27"/>
    </row>
    <row r="23" spans="3:13" x14ac:dyDescent="0.2">
      <c r="C23" s="5" t="s">
        <v>64</v>
      </c>
      <c r="D23" s="6"/>
      <c r="E23" s="28"/>
    </row>
    <row r="24" spans="3:13" x14ac:dyDescent="0.2">
      <c r="C24" s="8" t="s">
        <v>20</v>
      </c>
      <c r="D24" s="9"/>
      <c r="E24" s="20">
        <v>3.5</v>
      </c>
    </row>
    <row r="25" spans="3:13" x14ac:dyDescent="0.2">
      <c r="C25" s="21" t="s">
        <v>2</v>
      </c>
      <c r="D25" s="22"/>
      <c r="E25" s="23">
        <f>+E20-E24</f>
        <v>128.27621600000001</v>
      </c>
      <c r="H25" s="29"/>
    </row>
    <row r="26" spans="3:13" x14ac:dyDescent="0.2">
      <c r="C26" s="24" t="s">
        <v>3</v>
      </c>
      <c r="D26" s="25"/>
      <c r="E26" s="26">
        <f>+E24+E25</f>
        <v>131.77621600000001</v>
      </c>
    </row>
    <row r="29" spans="3:13" x14ac:dyDescent="0.2">
      <c r="C29" s="1" t="s">
        <v>56</v>
      </c>
    </row>
    <row r="30" spans="3:13" x14ac:dyDescent="0.2">
      <c r="C30" s="2" t="s">
        <v>4</v>
      </c>
      <c r="E30" s="2">
        <v>15</v>
      </c>
    </row>
    <row r="31" spans="3:13" x14ac:dyDescent="0.2">
      <c r="C31" s="2" t="s">
        <v>44</v>
      </c>
      <c r="E31" s="30">
        <v>3.2000000000000001E-2</v>
      </c>
      <c r="F31" s="31"/>
    </row>
    <row r="32" spans="3:13" x14ac:dyDescent="0.2">
      <c r="C32" s="2" t="s">
        <v>43</v>
      </c>
      <c r="E32" s="30">
        <v>5.0000000000000001E-3</v>
      </c>
      <c r="F32" s="17"/>
      <c r="M32" s="30"/>
    </row>
    <row r="33" spans="3:17" x14ac:dyDescent="0.2">
      <c r="C33" s="2" t="s">
        <v>42</v>
      </c>
      <c r="E33" s="32">
        <f>+E31+E32</f>
        <v>3.6999999999999998E-2</v>
      </c>
    </row>
    <row r="34" spans="3:17" x14ac:dyDescent="0.2">
      <c r="C34" s="2" t="s">
        <v>51</v>
      </c>
      <c r="E34" s="33">
        <v>0</v>
      </c>
      <c r="F34" s="33"/>
    </row>
    <row r="35" spans="3:17" x14ac:dyDescent="0.2">
      <c r="C35" s="2" t="s">
        <v>54</v>
      </c>
      <c r="E35" s="33">
        <v>0</v>
      </c>
      <c r="F35" s="33"/>
    </row>
    <row r="36" spans="3:17" s="36" customFormat="1" x14ac:dyDescent="0.2">
      <c r="C36" s="2" t="s">
        <v>53</v>
      </c>
      <c r="D36" s="2"/>
      <c r="E36" s="34">
        <v>2245.56</v>
      </c>
      <c r="F36" s="35"/>
    </row>
    <row r="37" spans="3:17" s="36" customFormat="1" x14ac:dyDescent="0.2">
      <c r="E37" s="37">
        <f>SUM(E34:E36)</f>
        <v>2245.56</v>
      </c>
      <c r="F37" s="35"/>
    </row>
    <row r="38" spans="3:17" s="36" customFormat="1" x14ac:dyDescent="0.2">
      <c r="E38" s="69"/>
      <c r="F38" s="35"/>
    </row>
    <row r="39" spans="3:17" s="36" customFormat="1" x14ac:dyDescent="0.2">
      <c r="C39" s="71" t="s">
        <v>62</v>
      </c>
      <c r="E39" s="70">
        <v>0.3</v>
      </c>
      <c r="F39" s="35"/>
    </row>
    <row r="41" spans="3:17" x14ac:dyDescent="0.2">
      <c r="C41" s="1" t="s">
        <v>21</v>
      </c>
    </row>
    <row r="42" spans="3:17" x14ac:dyDescent="0.2">
      <c r="C42" s="77"/>
      <c r="D42" s="78"/>
      <c r="E42" s="79" t="s">
        <v>72</v>
      </c>
      <c r="F42" s="79"/>
      <c r="G42" s="79" t="s">
        <v>55</v>
      </c>
      <c r="H42" s="79" t="s">
        <v>23</v>
      </c>
      <c r="I42" s="78"/>
      <c r="J42" s="78"/>
      <c r="K42" s="78"/>
      <c r="L42" s="78"/>
      <c r="M42" s="78"/>
      <c r="N42" s="78"/>
      <c r="O42" s="78"/>
      <c r="P42" s="78"/>
      <c r="Q42" s="80"/>
    </row>
    <row r="43" spans="3:17" x14ac:dyDescent="0.2">
      <c r="C43" s="81" t="s">
        <v>71</v>
      </c>
      <c r="D43" s="82"/>
      <c r="E43" s="83">
        <f>+G43/12</f>
        <v>442.08333333333331</v>
      </c>
      <c r="F43" s="82"/>
      <c r="G43" s="83">
        <v>5305</v>
      </c>
      <c r="H43" s="84">
        <f>+$G$43/($E$13*1000)</f>
        <v>4.9470327128949235E-2</v>
      </c>
      <c r="I43" s="82"/>
      <c r="J43" s="82"/>
      <c r="K43" s="82"/>
      <c r="L43" s="82"/>
      <c r="M43" s="84">
        <f>+$G$43/($E$13*1000*0.75)</f>
        <v>6.5960436171932313E-2</v>
      </c>
      <c r="N43" s="82"/>
      <c r="O43" s="82"/>
      <c r="P43" s="82"/>
      <c r="Q43" s="85"/>
    </row>
    <row r="44" spans="3:17" x14ac:dyDescent="0.2">
      <c r="C44" s="2" t="s">
        <v>41</v>
      </c>
      <c r="E44" s="30">
        <v>1.4999999999999999E-2</v>
      </c>
    </row>
    <row r="45" spans="3:17" x14ac:dyDescent="0.2">
      <c r="C45" s="2" t="s">
        <v>30</v>
      </c>
      <c r="E45" s="33">
        <v>300</v>
      </c>
      <c r="F45" s="17" t="s">
        <v>32</v>
      </c>
    </row>
    <row r="46" spans="3:17" x14ac:dyDescent="0.2">
      <c r="C46" s="2" t="s">
        <v>31</v>
      </c>
      <c r="E46" s="33">
        <v>120</v>
      </c>
    </row>
    <row r="48" spans="3:17" x14ac:dyDescent="0.2">
      <c r="C48" s="1" t="s">
        <v>5</v>
      </c>
    </row>
    <row r="49" spans="3:20" ht="12.75" customHeight="1" x14ac:dyDescent="0.2">
      <c r="C49" s="1"/>
    </row>
    <row r="50" spans="3:20" s="11" customFormat="1" x14ac:dyDescent="0.2">
      <c r="C50" s="67" t="s">
        <v>6</v>
      </c>
      <c r="D50" s="67">
        <v>1</v>
      </c>
      <c r="E50" s="67">
        <f>+D50+1</f>
        <v>2</v>
      </c>
      <c r="F50" s="67">
        <f t="shared" ref="F50:R50" si="0">+E50+1</f>
        <v>3</v>
      </c>
      <c r="G50" s="67">
        <f t="shared" si="0"/>
        <v>4</v>
      </c>
      <c r="H50" s="67">
        <f t="shared" si="0"/>
        <v>5</v>
      </c>
      <c r="I50" s="67">
        <f t="shared" si="0"/>
        <v>6</v>
      </c>
      <c r="J50" s="67">
        <f t="shared" si="0"/>
        <v>7</v>
      </c>
      <c r="K50" s="67">
        <f t="shared" si="0"/>
        <v>8</v>
      </c>
      <c r="L50" s="67">
        <f t="shared" si="0"/>
        <v>9</v>
      </c>
      <c r="M50" s="67">
        <f t="shared" si="0"/>
        <v>10</v>
      </c>
      <c r="N50" s="67">
        <f t="shared" si="0"/>
        <v>11</v>
      </c>
      <c r="O50" s="67">
        <f t="shared" si="0"/>
        <v>12</v>
      </c>
      <c r="P50" s="67">
        <f t="shared" si="0"/>
        <v>13</v>
      </c>
      <c r="Q50" s="67">
        <f t="shared" si="0"/>
        <v>14</v>
      </c>
      <c r="R50" s="67">
        <f t="shared" si="0"/>
        <v>15</v>
      </c>
      <c r="S50" s="11" t="s">
        <v>7</v>
      </c>
    </row>
    <row r="51" spans="3:20" x14ac:dyDescent="0.2">
      <c r="C51" s="40" t="s">
        <v>8</v>
      </c>
      <c r="D51" s="41">
        <f t="shared" ref="D51:R51" si="1">+$E$25*1000*$E$33</f>
        <v>4746.2199919999994</v>
      </c>
      <c r="E51" s="41">
        <f t="shared" si="1"/>
        <v>4746.2199919999994</v>
      </c>
      <c r="F51" s="41">
        <f t="shared" si="1"/>
        <v>4746.2199919999994</v>
      </c>
      <c r="G51" s="41">
        <f t="shared" si="1"/>
        <v>4746.2199919999994</v>
      </c>
      <c r="H51" s="41">
        <f t="shared" si="1"/>
        <v>4746.2199919999994</v>
      </c>
      <c r="I51" s="41">
        <f t="shared" si="1"/>
        <v>4746.2199919999994</v>
      </c>
      <c r="J51" s="41">
        <f t="shared" si="1"/>
        <v>4746.2199919999994</v>
      </c>
      <c r="K51" s="41">
        <f t="shared" si="1"/>
        <v>4746.2199919999994</v>
      </c>
      <c r="L51" s="41">
        <f t="shared" si="1"/>
        <v>4746.2199919999994</v>
      </c>
      <c r="M51" s="41">
        <f t="shared" si="1"/>
        <v>4746.2199919999994</v>
      </c>
      <c r="N51" s="41">
        <f t="shared" si="1"/>
        <v>4746.2199919999994</v>
      </c>
      <c r="O51" s="41">
        <f t="shared" si="1"/>
        <v>4746.2199919999994</v>
      </c>
      <c r="P51" s="41">
        <f t="shared" si="1"/>
        <v>4746.2199919999994</v>
      </c>
      <c r="Q51" s="41">
        <f t="shared" si="1"/>
        <v>4746.2199919999994</v>
      </c>
      <c r="R51" s="41">
        <f t="shared" si="1"/>
        <v>4746.2199919999994</v>
      </c>
      <c r="T51" s="38"/>
    </row>
    <row r="52" spans="3:20" x14ac:dyDescent="0.2">
      <c r="C52" s="42" t="s">
        <v>9</v>
      </c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</row>
    <row r="53" spans="3:20" x14ac:dyDescent="0.2">
      <c r="C53" s="44" t="s">
        <v>10</v>
      </c>
      <c r="D53" s="45">
        <f>+D51+D52</f>
        <v>4746.2199919999994</v>
      </c>
      <c r="E53" s="45">
        <f t="shared" ref="E53:R53" si="2">+E51+E52</f>
        <v>4746.2199919999994</v>
      </c>
      <c r="F53" s="45">
        <f t="shared" si="2"/>
        <v>4746.2199919999994</v>
      </c>
      <c r="G53" s="45">
        <f t="shared" si="2"/>
        <v>4746.2199919999994</v>
      </c>
      <c r="H53" s="45">
        <f t="shared" si="2"/>
        <v>4746.2199919999994</v>
      </c>
      <c r="I53" s="45">
        <f t="shared" si="2"/>
        <v>4746.2199919999994</v>
      </c>
      <c r="J53" s="45">
        <f t="shared" si="2"/>
        <v>4746.2199919999994</v>
      </c>
      <c r="K53" s="45">
        <f t="shared" si="2"/>
        <v>4746.2199919999994</v>
      </c>
      <c r="L53" s="45">
        <f t="shared" si="2"/>
        <v>4746.2199919999994</v>
      </c>
      <c r="M53" s="45">
        <f t="shared" si="2"/>
        <v>4746.2199919999994</v>
      </c>
      <c r="N53" s="45">
        <f t="shared" si="2"/>
        <v>4746.2199919999994</v>
      </c>
      <c r="O53" s="45">
        <f t="shared" si="2"/>
        <v>4746.2199919999994</v>
      </c>
      <c r="P53" s="45">
        <f t="shared" si="2"/>
        <v>4746.2199919999994</v>
      </c>
      <c r="Q53" s="45">
        <f t="shared" si="2"/>
        <v>4746.2199919999994</v>
      </c>
      <c r="R53" s="45">
        <f t="shared" si="2"/>
        <v>4746.2199919999994</v>
      </c>
    </row>
    <row r="55" spans="3:20" hidden="1" x14ac:dyDescent="0.2"/>
    <row r="56" spans="3:20" hidden="1" x14ac:dyDescent="0.2"/>
    <row r="57" spans="3:20" hidden="1" x14ac:dyDescent="0.2"/>
    <row r="58" spans="3:20" hidden="1" x14ac:dyDescent="0.2"/>
    <row r="59" spans="3:20" hidden="1" x14ac:dyDescent="0.2"/>
    <row r="61" spans="3:20" ht="15.75" x14ac:dyDescent="0.25">
      <c r="C61" s="68" t="s">
        <v>58</v>
      </c>
    </row>
    <row r="62" spans="3:20" x14ac:dyDescent="0.2">
      <c r="C62" s="1"/>
    </row>
    <row r="63" spans="3:20" s="11" customFormat="1" x14ac:dyDescent="0.2">
      <c r="C63" s="67" t="s">
        <v>6</v>
      </c>
      <c r="D63" s="67">
        <v>1</v>
      </c>
      <c r="E63" s="67">
        <f>+D63+1</f>
        <v>2</v>
      </c>
      <c r="F63" s="67">
        <f t="shared" ref="F63:R63" si="3">+E63+1</f>
        <v>3</v>
      </c>
      <c r="G63" s="67">
        <f t="shared" si="3"/>
        <v>4</v>
      </c>
      <c r="H63" s="67">
        <f t="shared" si="3"/>
        <v>5</v>
      </c>
      <c r="I63" s="67">
        <f t="shared" si="3"/>
        <v>6</v>
      </c>
      <c r="J63" s="67">
        <f t="shared" si="3"/>
        <v>7</v>
      </c>
      <c r="K63" s="67">
        <f t="shared" si="3"/>
        <v>8</v>
      </c>
      <c r="L63" s="67">
        <f t="shared" si="3"/>
        <v>9</v>
      </c>
      <c r="M63" s="67">
        <f t="shared" si="3"/>
        <v>10</v>
      </c>
      <c r="N63" s="67">
        <f t="shared" si="3"/>
        <v>11</v>
      </c>
      <c r="O63" s="67">
        <f t="shared" si="3"/>
        <v>12</v>
      </c>
      <c r="P63" s="67">
        <f t="shared" si="3"/>
        <v>13</v>
      </c>
      <c r="Q63" s="67">
        <f t="shared" si="3"/>
        <v>14</v>
      </c>
      <c r="R63" s="67">
        <f t="shared" si="3"/>
        <v>15</v>
      </c>
      <c r="S63" s="11" t="s">
        <v>7</v>
      </c>
    </row>
    <row r="64" spans="3:20" x14ac:dyDescent="0.2"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</row>
    <row r="65" spans="3:20" x14ac:dyDescent="0.2">
      <c r="C65" s="46" t="s">
        <v>11</v>
      </c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</row>
    <row r="66" spans="3:20" x14ac:dyDescent="0.2">
      <c r="C66" s="15" t="s">
        <v>12</v>
      </c>
      <c r="D66" s="43">
        <f>+$E$43*12</f>
        <v>5305</v>
      </c>
      <c r="E66" s="43">
        <f>+D66*(1+$E$44)</f>
        <v>5384.5749999999998</v>
      </c>
      <c r="F66" s="43">
        <f t="shared" ref="F66:R66" si="4">+E66*(1+$E$44)</f>
        <v>5465.3436249999995</v>
      </c>
      <c r="G66" s="43">
        <f t="shared" si="4"/>
        <v>5547.3237793749986</v>
      </c>
      <c r="H66" s="43">
        <f t="shared" si="4"/>
        <v>5630.5336360656229</v>
      </c>
      <c r="I66" s="43">
        <f t="shared" si="4"/>
        <v>5714.9916406066068</v>
      </c>
      <c r="J66" s="43">
        <f t="shared" si="4"/>
        <v>5800.7165152157049</v>
      </c>
      <c r="K66" s="43">
        <f t="shared" si="4"/>
        <v>5887.7272629439403</v>
      </c>
      <c r="L66" s="43">
        <f t="shared" si="4"/>
        <v>5976.0431718880991</v>
      </c>
      <c r="M66" s="43">
        <f t="shared" si="4"/>
        <v>6065.6838194664197</v>
      </c>
      <c r="N66" s="43">
        <f t="shared" si="4"/>
        <v>6156.669076758415</v>
      </c>
      <c r="O66" s="43">
        <f t="shared" si="4"/>
        <v>6249.0191129097902</v>
      </c>
      <c r="P66" s="43">
        <f t="shared" si="4"/>
        <v>6342.7543996034365</v>
      </c>
      <c r="Q66" s="43">
        <f t="shared" si="4"/>
        <v>6437.8957155974877</v>
      </c>
      <c r="R66" s="43">
        <f t="shared" si="4"/>
        <v>6534.4641513314491</v>
      </c>
    </row>
    <row r="67" spans="3:20" x14ac:dyDescent="0.2">
      <c r="C67" s="15" t="s">
        <v>13</v>
      </c>
      <c r="D67" s="43">
        <f>-E46-E24*1000-E37</f>
        <v>-5865.5599999999995</v>
      </c>
      <c r="E67" s="43">
        <f>-E46</f>
        <v>-120</v>
      </c>
      <c r="F67" s="43">
        <f>-$E$45-$E$46</f>
        <v>-420</v>
      </c>
      <c r="G67" s="43">
        <f t="shared" ref="G67:R67" si="5">-$E$45-$E$46</f>
        <v>-420</v>
      </c>
      <c r="H67" s="43">
        <f t="shared" si="5"/>
        <v>-420</v>
      </c>
      <c r="I67" s="43">
        <f t="shared" si="5"/>
        <v>-420</v>
      </c>
      <c r="J67" s="43">
        <f t="shared" si="5"/>
        <v>-420</v>
      </c>
      <c r="K67" s="43">
        <f t="shared" si="5"/>
        <v>-420</v>
      </c>
      <c r="L67" s="43">
        <f t="shared" si="5"/>
        <v>-420</v>
      </c>
      <c r="M67" s="43">
        <f t="shared" si="5"/>
        <v>-420</v>
      </c>
      <c r="N67" s="43">
        <f t="shared" si="5"/>
        <v>-420</v>
      </c>
      <c r="O67" s="43">
        <f t="shared" si="5"/>
        <v>-420</v>
      </c>
      <c r="P67" s="43">
        <f t="shared" si="5"/>
        <v>-420</v>
      </c>
      <c r="Q67" s="43">
        <f t="shared" si="5"/>
        <v>-420</v>
      </c>
      <c r="R67" s="43">
        <f t="shared" si="5"/>
        <v>-420</v>
      </c>
    </row>
    <row r="68" spans="3:20" x14ac:dyDescent="0.2">
      <c r="C68" s="15" t="s">
        <v>14</v>
      </c>
      <c r="D68" s="43">
        <f>-D53</f>
        <v>-4746.2199919999994</v>
      </c>
      <c r="E68" s="43">
        <f t="shared" ref="E68:R68" si="6">-E53</f>
        <v>-4746.2199919999994</v>
      </c>
      <c r="F68" s="43">
        <f t="shared" si="6"/>
        <v>-4746.2199919999994</v>
      </c>
      <c r="G68" s="43">
        <f t="shared" si="6"/>
        <v>-4746.2199919999994</v>
      </c>
      <c r="H68" s="43">
        <f t="shared" si="6"/>
        <v>-4746.2199919999994</v>
      </c>
      <c r="I68" s="43">
        <f t="shared" si="6"/>
        <v>-4746.2199919999994</v>
      </c>
      <c r="J68" s="43">
        <f t="shared" si="6"/>
        <v>-4746.2199919999994</v>
      </c>
      <c r="K68" s="43">
        <f t="shared" si="6"/>
        <v>-4746.2199919999994</v>
      </c>
      <c r="L68" s="43">
        <f t="shared" si="6"/>
        <v>-4746.2199919999994</v>
      </c>
      <c r="M68" s="43">
        <f t="shared" si="6"/>
        <v>-4746.2199919999994</v>
      </c>
      <c r="N68" s="43">
        <f t="shared" si="6"/>
        <v>-4746.2199919999994</v>
      </c>
      <c r="O68" s="43">
        <f t="shared" si="6"/>
        <v>-4746.2199919999994</v>
      </c>
      <c r="P68" s="43">
        <f t="shared" si="6"/>
        <v>-4746.2199919999994</v>
      </c>
      <c r="Q68" s="43">
        <f t="shared" si="6"/>
        <v>-4746.2199919999994</v>
      </c>
      <c r="R68" s="43">
        <f t="shared" si="6"/>
        <v>-4746.2199919999994</v>
      </c>
      <c r="T68" s="2">
        <f>-SUM(D68:R68)</f>
        <v>71193.299879999991</v>
      </c>
    </row>
    <row r="69" spans="3:20" hidden="1" x14ac:dyDescent="0.2">
      <c r="C69" s="15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</row>
    <row r="70" spans="3:20" s="1" customFormat="1" x14ac:dyDescent="0.2">
      <c r="C70" s="47" t="s">
        <v>60</v>
      </c>
      <c r="D70" s="48">
        <f>SUM(D66:D69)</f>
        <v>-5306.7799919999989</v>
      </c>
      <c r="E70" s="48">
        <f t="shared" ref="E70:R70" si="7">SUM(E66:E69)</f>
        <v>518.35500800000045</v>
      </c>
      <c r="F70" s="48">
        <f t="shared" si="7"/>
        <v>299.12363300000015</v>
      </c>
      <c r="G70" s="48">
        <f t="shared" si="7"/>
        <v>381.10378737499923</v>
      </c>
      <c r="H70" s="48">
        <f t="shared" si="7"/>
        <v>464.31364406562352</v>
      </c>
      <c r="I70" s="48">
        <f t="shared" si="7"/>
        <v>548.77164860660741</v>
      </c>
      <c r="J70" s="48">
        <f t="shared" si="7"/>
        <v>634.49652321570557</v>
      </c>
      <c r="K70" s="48">
        <f t="shared" si="7"/>
        <v>721.50727094394097</v>
      </c>
      <c r="L70" s="48">
        <f t="shared" si="7"/>
        <v>809.82317988809973</v>
      </c>
      <c r="M70" s="48">
        <f t="shared" si="7"/>
        <v>899.4638274664203</v>
      </c>
      <c r="N70" s="48">
        <f t="shared" si="7"/>
        <v>990.44908475841567</v>
      </c>
      <c r="O70" s="48">
        <f t="shared" si="7"/>
        <v>1082.7991209097909</v>
      </c>
      <c r="P70" s="48">
        <f t="shared" si="7"/>
        <v>1176.5344076034371</v>
      </c>
      <c r="Q70" s="48">
        <f t="shared" si="7"/>
        <v>1271.6757235974883</v>
      </c>
      <c r="R70" s="48">
        <f t="shared" si="7"/>
        <v>1368.2441593314497</v>
      </c>
      <c r="S70" s="49"/>
    </row>
    <row r="71" spans="3:20" s="1" customFormat="1" x14ac:dyDescent="0.2">
      <c r="C71" s="50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T71" s="52"/>
    </row>
    <row r="72" spans="3:20" s="1" customFormat="1" x14ac:dyDescent="0.2">
      <c r="C72" s="47" t="s">
        <v>24</v>
      </c>
      <c r="D72" s="53">
        <f>IF($E$13&lt;100,$E$13*1000*0.25/4,100000*0.25/4)</f>
        <v>6250</v>
      </c>
      <c r="E72" s="53">
        <f>IF($E$13&lt;100,$E$13*1000*0.25/4,100000*0.25/4)</f>
        <v>6250</v>
      </c>
      <c r="F72" s="53">
        <f>IF($E$13&lt;100,$E$13*1000*0.25/4,100000*0.25/4)</f>
        <v>6250</v>
      </c>
      <c r="G72" s="53">
        <f>IF($E$13&lt;100,$E$13*1000*0.25/4,100000*0.25/4)</f>
        <v>6250</v>
      </c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T72" s="52"/>
    </row>
    <row r="73" spans="3:20" s="1" customFormat="1" x14ac:dyDescent="0.2">
      <c r="C73" s="47" t="s">
        <v>59</v>
      </c>
      <c r="D73" s="53">
        <f>-D86*$E$39</f>
        <v>637.5239975999998</v>
      </c>
      <c r="E73" s="53">
        <f t="shared" ref="E73:R73" si="8">-E86*$E$39</f>
        <v>-58.584152400000136</v>
      </c>
      <c r="F73" s="53">
        <f t="shared" si="8"/>
        <v>8.6390953499999341</v>
      </c>
      <c r="G73" s="53">
        <f t="shared" si="8"/>
        <v>-14.479308183749799</v>
      </c>
      <c r="H73" s="53">
        <f t="shared" si="8"/>
        <v>-37.944487770505852</v>
      </c>
      <c r="I73" s="53">
        <f t="shared" si="8"/>
        <v>-61.761645051063297</v>
      </c>
      <c r="J73" s="53">
        <f t="shared" si="8"/>
        <v>-85.936059690828984</v>
      </c>
      <c r="K73" s="53">
        <f t="shared" si="8"/>
        <v>-110.47309055019136</v>
      </c>
      <c r="L73" s="53">
        <f t="shared" si="8"/>
        <v>-135.37817687244413</v>
      </c>
      <c r="M73" s="53">
        <f t="shared" si="8"/>
        <v>-15.080427822336434</v>
      </c>
      <c r="N73" s="53">
        <f t="shared" si="8"/>
        <v>-38.554624203671231</v>
      </c>
      <c r="O73" s="53">
        <f t="shared" si="8"/>
        <v>-62.380933530726054</v>
      </c>
      <c r="P73" s="53">
        <f t="shared" si="8"/>
        <v>-86.564637497686775</v>
      </c>
      <c r="Q73" s="53">
        <f t="shared" si="8"/>
        <v>-111.11109702415199</v>
      </c>
      <c r="R73" s="53">
        <f t="shared" si="8"/>
        <v>-136.02575344351402</v>
      </c>
      <c r="T73" s="52"/>
    </row>
    <row r="74" spans="3:20" s="1" customFormat="1" x14ac:dyDescent="0.2">
      <c r="C74" s="47" t="s">
        <v>25</v>
      </c>
      <c r="D74" s="48">
        <f>+D70+D72+D73</f>
        <v>1580.7440056000009</v>
      </c>
      <c r="E74" s="48">
        <f t="shared" ref="E74:R74" si="9">+E70+E72+E73</f>
        <v>6709.7708556000007</v>
      </c>
      <c r="F74" s="48">
        <f t="shared" si="9"/>
        <v>6557.7627283500005</v>
      </c>
      <c r="G74" s="48">
        <f t="shared" si="9"/>
        <v>6616.6244791912495</v>
      </c>
      <c r="H74" s="48">
        <f t="shared" si="9"/>
        <v>426.36915629511765</v>
      </c>
      <c r="I74" s="48">
        <f t="shared" si="9"/>
        <v>487.01000355554413</v>
      </c>
      <c r="J74" s="48">
        <f t="shared" si="9"/>
        <v>548.56046352487658</v>
      </c>
      <c r="K74" s="48">
        <f t="shared" si="9"/>
        <v>611.03418039374958</v>
      </c>
      <c r="L74" s="48">
        <f t="shared" si="9"/>
        <v>674.44500301565563</v>
      </c>
      <c r="M74" s="48">
        <f t="shared" si="9"/>
        <v>884.38339964408385</v>
      </c>
      <c r="N74" s="48">
        <f t="shared" si="9"/>
        <v>951.89446055474446</v>
      </c>
      <c r="O74" s="48">
        <f t="shared" si="9"/>
        <v>1020.4181873790649</v>
      </c>
      <c r="P74" s="48">
        <f t="shared" si="9"/>
        <v>1089.9697701057503</v>
      </c>
      <c r="Q74" s="48">
        <f t="shared" si="9"/>
        <v>1160.5646265733362</v>
      </c>
      <c r="R74" s="48">
        <f t="shared" si="9"/>
        <v>1232.2184058879357</v>
      </c>
      <c r="T74" s="52"/>
    </row>
    <row r="75" spans="3:20" s="1" customFormat="1" x14ac:dyDescent="0.2">
      <c r="C75" s="47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T75" s="52"/>
    </row>
    <row r="76" spans="3:20" s="1" customFormat="1" x14ac:dyDescent="0.2">
      <c r="C76" s="47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T76" s="52"/>
    </row>
    <row r="77" spans="3:20" x14ac:dyDescent="0.2">
      <c r="C77" s="40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</row>
    <row r="78" spans="3:20" x14ac:dyDescent="0.2">
      <c r="C78" s="46" t="s">
        <v>15</v>
      </c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</row>
    <row r="79" spans="3:20" x14ac:dyDescent="0.2">
      <c r="C79" s="15" t="s">
        <v>61</v>
      </c>
      <c r="D79" s="43">
        <f>+D66</f>
        <v>5305</v>
      </c>
      <c r="E79" s="43">
        <f t="shared" ref="E79:R80" si="10">+E66</f>
        <v>5384.5749999999998</v>
      </c>
      <c r="F79" s="43">
        <f t="shared" si="10"/>
        <v>5465.3436249999995</v>
      </c>
      <c r="G79" s="43">
        <f t="shared" si="10"/>
        <v>5547.3237793749986</v>
      </c>
      <c r="H79" s="43">
        <f t="shared" si="10"/>
        <v>5630.5336360656229</v>
      </c>
      <c r="I79" s="43">
        <f t="shared" si="10"/>
        <v>5714.9916406066068</v>
      </c>
      <c r="J79" s="43">
        <f t="shared" si="10"/>
        <v>5800.7165152157049</v>
      </c>
      <c r="K79" s="43">
        <f t="shared" si="10"/>
        <v>5887.7272629439403</v>
      </c>
      <c r="L79" s="43">
        <f t="shared" si="10"/>
        <v>5976.0431718880991</v>
      </c>
      <c r="M79" s="43">
        <f t="shared" si="10"/>
        <v>6065.6838194664197</v>
      </c>
      <c r="N79" s="43">
        <f t="shared" si="10"/>
        <v>6156.669076758415</v>
      </c>
      <c r="O79" s="43">
        <f t="shared" si="10"/>
        <v>6249.0191129097902</v>
      </c>
      <c r="P79" s="43">
        <f t="shared" si="10"/>
        <v>6342.7543996034365</v>
      </c>
      <c r="Q79" s="43">
        <f t="shared" si="10"/>
        <v>6437.8957155974877</v>
      </c>
      <c r="R79" s="43">
        <f t="shared" si="10"/>
        <v>6534.4641513314491</v>
      </c>
    </row>
    <row r="80" spans="3:20" ht="12.75" customHeight="1" x14ac:dyDescent="0.2">
      <c r="C80" s="15" t="s">
        <v>16</v>
      </c>
      <c r="D80" s="43">
        <f>-E46-E37</f>
        <v>-2365.56</v>
      </c>
      <c r="E80" s="43">
        <f t="shared" si="10"/>
        <v>-120</v>
      </c>
      <c r="F80" s="43">
        <f t="shared" si="10"/>
        <v>-420</v>
      </c>
      <c r="G80" s="43">
        <f t="shared" si="10"/>
        <v>-420</v>
      </c>
      <c r="H80" s="43">
        <f t="shared" si="10"/>
        <v>-420</v>
      </c>
      <c r="I80" s="43">
        <f t="shared" si="10"/>
        <v>-420</v>
      </c>
      <c r="J80" s="43">
        <f t="shared" si="10"/>
        <v>-420</v>
      </c>
      <c r="K80" s="43">
        <f t="shared" si="10"/>
        <v>-420</v>
      </c>
      <c r="L80" s="43">
        <f t="shared" si="10"/>
        <v>-420</v>
      </c>
      <c r="M80" s="43">
        <f t="shared" si="10"/>
        <v>-420</v>
      </c>
      <c r="N80" s="43">
        <f t="shared" si="10"/>
        <v>-420</v>
      </c>
      <c r="O80" s="43">
        <f t="shared" si="10"/>
        <v>-420</v>
      </c>
      <c r="P80" s="43">
        <f t="shared" si="10"/>
        <v>-420</v>
      </c>
      <c r="Q80" s="43">
        <f t="shared" si="10"/>
        <v>-420</v>
      </c>
      <c r="R80" s="43">
        <f t="shared" si="10"/>
        <v>-420</v>
      </c>
    </row>
    <row r="81" spans="3:20" x14ac:dyDescent="0.2">
      <c r="C81" s="15" t="s">
        <v>17</v>
      </c>
      <c r="D81" s="43">
        <f>-D51</f>
        <v>-4746.2199919999994</v>
      </c>
      <c r="E81" s="43">
        <f t="shared" ref="E81:R81" si="11">-E51</f>
        <v>-4746.2199919999994</v>
      </c>
      <c r="F81" s="43">
        <f t="shared" si="11"/>
        <v>-4746.2199919999994</v>
      </c>
      <c r="G81" s="43">
        <f t="shared" si="11"/>
        <v>-4746.2199919999994</v>
      </c>
      <c r="H81" s="43">
        <f t="shared" si="11"/>
        <v>-4746.2199919999994</v>
      </c>
      <c r="I81" s="43">
        <f t="shared" si="11"/>
        <v>-4746.2199919999994</v>
      </c>
      <c r="J81" s="43">
        <f t="shared" si="11"/>
        <v>-4746.2199919999994</v>
      </c>
      <c r="K81" s="43">
        <f t="shared" si="11"/>
        <v>-4746.2199919999994</v>
      </c>
      <c r="L81" s="43">
        <f t="shared" si="11"/>
        <v>-4746.2199919999994</v>
      </c>
      <c r="M81" s="43">
        <f t="shared" si="11"/>
        <v>-4746.2199919999994</v>
      </c>
      <c r="N81" s="43">
        <f t="shared" si="11"/>
        <v>-4746.2199919999994</v>
      </c>
      <c r="O81" s="43">
        <f t="shared" si="11"/>
        <v>-4746.2199919999994</v>
      </c>
      <c r="P81" s="43">
        <f t="shared" si="11"/>
        <v>-4746.2199919999994</v>
      </c>
      <c r="Q81" s="43">
        <f t="shared" si="11"/>
        <v>-4746.2199919999994</v>
      </c>
      <c r="R81" s="43">
        <f t="shared" si="11"/>
        <v>-4746.2199919999994</v>
      </c>
      <c r="T81" s="2">
        <f t="shared" ref="T81:T88" si="12">-SUM(D81:R81)</f>
        <v>71193.299879999991</v>
      </c>
    </row>
    <row r="82" spans="3:20" ht="12.75" customHeight="1" x14ac:dyDescent="0.2">
      <c r="C82" s="15" t="s">
        <v>65</v>
      </c>
      <c r="D82" s="43">
        <f>-D79*0.06</f>
        <v>-318.3</v>
      </c>
      <c r="E82" s="43">
        <f t="shared" ref="E82:L82" si="13">-E79*0.06</f>
        <v>-323.0745</v>
      </c>
      <c r="F82" s="43">
        <f t="shared" si="13"/>
        <v>-327.92061749999993</v>
      </c>
      <c r="G82" s="43">
        <f t="shared" si="13"/>
        <v>-332.8394267624999</v>
      </c>
      <c r="H82" s="43">
        <f t="shared" si="13"/>
        <v>-337.83201816393733</v>
      </c>
      <c r="I82" s="43">
        <f t="shared" si="13"/>
        <v>-342.89949843639641</v>
      </c>
      <c r="J82" s="43">
        <f t="shared" si="13"/>
        <v>-348.04299091294229</v>
      </c>
      <c r="K82" s="43">
        <f t="shared" si="13"/>
        <v>-353.26363577663642</v>
      </c>
      <c r="L82" s="43">
        <f t="shared" si="13"/>
        <v>-358.56259031328591</v>
      </c>
      <c r="M82" s="43">
        <f t="shared" ref="M82:R82" si="14">-M79*0.14</f>
        <v>-849.19573472529885</v>
      </c>
      <c r="N82" s="43">
        <f t="shared" si="14"/>
        <v>-861.93367074617822</v>
      </c>
      <c r="O82" s="43">
        <f t="shared" si="14"/>
        <v>-874.86267580737069</v>
      </c>
      <c r="P82" s="43">
        <f t="shared" si="14"/>
        <v>-887.9856159444812</v>
      </c>
      <c r="Q82" s="43">
        <f t="shared" si="14"/>
        <v>-901.30540018364832</v>
      </c>
      <c r="R82" s="43">
        <f t="shared" si="14"/>
        <v>-914.82498118640297</v>
      </c>
      <c r="T82" s="2">
        <f t="shared" si="12"/>
        <v>8332.8433564590778</v>
      </c>
    </row>
    <row r="83" spans="3:20" ht="12.75" hidden="1" customHeight="1" x14ac:dyDescent="0.2">
      <c r="C83" s="15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T83" s="2">
        <f t="shared" si="12"/>
        <v>0</v>
      </c>
    </row>
    <row r="84" spans="3:20" ht="12.75" hidden="1" customHeight="1" x14ac:dyDescent="0.2">
      <c r="C84" s="15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T84" s="2">
        <f t="shared" si="12"/>
        <v>0</v>
      </c>
    </row>
    <row r="85" spans="3:20" ht="12.75" hidden="1" customHeight="1" x14ac:dyDescent="0.2">
      <c r="C85" s="15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T85" s="2">
        <f t="shared" si="12"/>
        <v>0</v>
      </c>
    </row>
    <row r="86" spans="3:20" ht="12.75" customHeight="1" x14ac:dyDescent="0.2">
      <c r="C86" s="50" t="s">
        <v>73</v>
      </c>
      <c r="D86" s="54">
        <f>SUM(D79:D85)</f>
        <v>-2125.0799919999995</v>
      </c>
      <c r="E86" s="54">
        <f t="shared" ref="E86:R86" si="15">SUM(E79:E85)</f>
        <v>195.28050800000045</v>
      </c>
      <c r="F86" s="54">
        <f t="shared" si="15"/>
        <v>-28.79698449999978</v>
      </c>
      <c r="G86" s="54">
        <f t="shared" si="15"/>
        <v>48.264360612499331</v>
      </c>
      <c r="H86" s="54">
        <f t="shared" si="15"/>
        <v>126.48162590168619</v>
      </c>
      <c r="I86" s="54">
        <f t="shared" si="15"/>
        <v>205.872150170211</v>
      </c>
      <c r="J86" s="54">
        <f t="shared" si="15"/>
        <v>286.45353230276328</v>
      </c>
      <c r="K86" s="54">
        <f t="shared" si="15"/>
        <v>368.24363516730455</v>
      </c>
      <c r="L86" s="54">
        <f t="shared" si="15"/>
        <v>451.26058957481382</v>
      </c>
      <c r="M86" s="54">
        <f t="shared" si="15"/>
        <v>50.26809274112145</v>
      </c>
      <c r="N86" s="54">
        <f t="shared" si="15"/>
        <v>128.51541401223744</v>
      </c>
      <c r="O86" s="54">
        <f t="shared" si="15"/>
        <v>207.93644510242018</v>
      </c>
      <c r="P86" s="54">
        <f t="shared" si="15"/>
        <v>288.54879165895591</v>
      </c>
      <c r="Q86" s="54">
        <f t="shared" si="15"/>
        <v>370.37032341383997</v>
      </c>
      <c r="R86" s="54">
        <f t="shared" si="15"/>
        <v>453.41917814504677</v>
      </c>
      <c r="S86" s="19"/>
    </row>
    <row r="87" spans="3:20" hidden="1" x14ac:dyDescent="0.2">
      <c r="C87" s="2" t="s">
        <v>18</v>
      </c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T87" s="2">
        <f t="shared" si="12"/>
        <v>0</v>
      </c>
    </row>
    <row r="88" spans="3:20" hidden="1" x14ac:dyDescent="0.2">
      <c r="D88" s="55">
        <f t="shared" ref="D88:I88" si="16">+D86+D87</f>
        <v>-2125.0799919999995</v>
      </c>
      <c r="E88" s="55">
        <f t="shared" si="16"/>
        <v>195.28050800000045</v>
      </c>
      <c r="F88" s="55">
        <f t="shared" si="16"/>
        <v>-28.79698449999978</v>
      </c>
      <c r="G88" s="55">
        <f t="shared" si="16"/>
        <v>48.264360612499331</v>
      </c>
      <c r="H88" s="55">
        <f t="shared" si="16"/>
        <v>126.48162590168619</v>
      </c>
      <c r="I88" s="55">
        <f t="shared" si="16"/>
        <v>205.872150170211</v>
      </c>
      <c r="J88" s="55">
        <f t="shared" ref="J88:R88" si="17">+J86+J87</f>
        <v>286.45353230276328</v>
      </c>
      <c r="K88" s="55">
        <f t="shared" si="17"/>
        <v>368.24363516730455</v>
      </c>
      <c r="L88" s="55">
        <f t="shared" si="17"/>
        <v>451.26058957481382</v>
      </c>
      <c r="M88" s="55">
        <f t="shared" si="17"/>
        <v>50.26809274112145</v>
      </c>
      <c r="N88" s="55">
        <f t="shared" si="17"/>
        <v>128.51541401223744</v>
      </c>
      <c r="O88" s="55">
        <f t="shared" si="17"/>
        <v>207.93644510242018</v>
      </c>
      <c r="P88" s="55">
        <f t="shared" si="17"/>
        <v>288.54879165895591</v>
      </c>
      <c r="Q88" s="55">
        <f t="shared" si="17"/>
        <v>370.37032341383997</v>
      </c>
      <c r="R88" s="55">
        <f t="shared" si="17"/>
        <v>453.41917814504677</v>
      </c>
      <c r="T88" s="2">
        <f t="shared" si="12"/>
        <v>-1027.037670302901</v>
      </c>
    </row>
    <row r="89" spans="3:20" x14ac:dyDescent="0.2"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</row>
    <row r="90" spans="3:20" x14ac:dyDescent="0.2"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</row>
    <row r="91" spans="3:20" x14ac:dyDescent="0.2">
      <c r="C91" s="1" t="s">
        <v>26</v>
      </c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</row>
    <row r="92" spans="3:20" x14ac:dyDescent="0.2">
      <c r="C92" s="2" t="s">
        <v>34</v>
      </c>
      <c r="D92" s="56">
        <v>25</v>
      </c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</row>
    <row r="93" spans="3:20" x14ac:dyDescent="0.2">
      <c r="C93" s="2" t="s">
        <v>50</v>
      </c>
      <c r="D93" s="57">
        <v>4.0999999999999996</v>
      </c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</row>
    <row r="94" spans="3:20" x14ac:dyDescent="0.2">
      <c r="C94" s="2" t="s">
        <v>27</v>
      </c>
      <c r="D94" s="72">
        <v>0.05</v>
      </c>
      <c r="E94" s="38"/>
      <c r="F94" s="30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</row>
    <row r="95" spans="3:20" x14ac:dyDescent="0.2">
      <c r="C95" s="2" t="s">
        <v>47</v>
      </c>
      <c r="D95" s="72">
        <v>6.0000000000000001E-3</v>
      </c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</row>
    <row r="96" spans="3:20" x14ac:dyDescent="0.2">
      <c r="C96" s="2" t="s">
        <v>49</v>
      </c>
      <c r="D96" s="73">
        <f>+D94-D95</f>
        <v>4.4000000000000004E-2</v>
      </c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</row>
    <row r="97" spans="3:21" x14ac:dyDescent="0.2">
      <c r="C97" s="2" t="s">
        <v>45</v>
      </c>
      <c r="D97" s="72">
        <v>2.5000000000000001E-2</v>
      </c>
      <c r="E97" s="38"/>
      <c r="F97" s="30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</row>
    <row r="98" spans="3:21" x14ac:dyDescent="0.2"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</row>
    <row r="99" spans="3:21" s="11" customFormat="1" x14ac:dyDescent="0.2">
      <c r="C99" s="58" t="s">
        <v>6</v>
      </c>
      <c r="D99" s="39">
        <v>1</v>
      </c>
      <c r="E99" s="39">
        <f>+D99+1</f>
        <v>2</v>
      </c>
      <c r="F99" s="39">
        <f t="shared" ref="F99:R99" si="18">+E99+1</f>
        <v>3</v>
      </c>
      <c r="G99" s="39">
        <f t="shared" si="18"/>
        <v>4</v>
      </c>
      <c r="H99" s="39">
        <f t="shared" si="18"/>
        <v>5</v>
      </c>
      <c r="I99" s="39">
        <f t="shared" si="18"/>
        <v>6</v>
      </c>
      <c r="J99" s="39">
        <f t="shared" si="18"/>
        <v>7</v>
      </c>
      <c r="K99" s="39">
        <f t="shared" si="18"/>
        <v>8</v>
      </c>
      <c r="L99" s="39">
        <f t="shared" si="18"/>
        <v>9</v>
      </c>
      <c r="M99" s="39">
        <f t="shared" si="18"/>
        <v>10</v>
      </c>
      <c r="N99" s="39">
        <f t="shared" si="18"/>
        <v>11</v>
      </c>
      <c r="O99" s="39">
        <f t="shared" si="18"/>
        <v>12</v>
      </c>
      <c r="P99" s="39">
        <f t="shared" si="18"/>
        <v>13</v>
      </c>
      <c r="Q99" s="39">
        <f t="shared" si="18"/>
        <v>14</v>
      </c>
      <c r="R99" s="39">
        <f t="shared" si="18"/>
        <v>15</v>
      </c>
      <c r="S99" s="11" t="s">
        <v>7</v>
      </c>
    </row>
    <row r="100" spans="3:21" s="27" customFormat="1" x14ac:dyDescent="0.2">
      <c r="C100" s="20" t="s">
        <v>28</v>
      </c>
      <c r="D100" s="20">
        <f>+$D$92*(1-$D$97)</f>
        <v>24.375</v>
      </c>
      <c r="E100" s="20">
        <f>+D104</f>
        <v>29.445</v>
      </c>
      <c r="F100" s="20">
        <f t="shared" ref="F100:R100" si="19">+E104</f>
        <v>34.738080000000004</v>
      </c>
      <c r="G100" s="20">
        <f t="shared" si="19"/>
        <v>40.264055520000007</v>
      </c>
      <c r="H100" s="20">
        <f t="shared" si="19"/>
        <v>46.033173962880007</v>
      </c>
      <c r="I100" s="20">
        <f t="shared" si="19"/>
        <v>52.056133617246729</v>
      </c>
      <c r="J100" s="20">
        <f t="shared" si="19"/>
        <v>58.344103496405587</v>
      </c>
      <c r="K100" s="20">
        <f t="shared" si="19"/>
        <v>64.908744050247435</v>
      </c>
      <c r="L100" s="20">
        <f t="shared" si="19"/>
        <v>71.76222878845833</v>
      </c>
      <c r="M100" s="20">
        <f t="shared" si="19"/>
        <v>78.917266855150501</v>
      </c>
      <c r="N100" s="20">
        <f t="shared" si="19"/>
        <v>86.387126596777122</v>
      </c>
      <c r="O100" s="20">
        <f t="shared" si="19"/>
        <v>94.185660167035323</v>
      </c>
      <c r="P100" s="20">
        <f t="shared" si="19"/>
        <v>102.32732921438487</v>
      </c>
      <c r="Q100" s="20">
        <f t="shared" si="19"/>
        <v>110.82723169981782</v>
      </c>
      <c r="R100" s="20">
        <f t="shared" si="19"/>
        <v>119.70112989460981</v>
      </c>
    </row>
    <row r="101" spans="3:21" s="27" customFormat="1" x14ac:dyDescent="0.2">
      <c r="C101" s="18" t="s">
        <v>33</v>
      </c>
      <c r="D101" s="18">
        <f>+$D$93*(1-$D$97)</f>
        <v>3.9974999999999996</v>
      </c>
      <c r="E101" s="18">
        <f t="shared" ref="E101:R101" si="20">+$D$93*(1-$D$97)</f>
        <v>3.9974999999999996</v>
      </c>
      <c r="F101" s="18">
        <f t="shared" si="20"/>
        <v>3.9974999999999996</v>
      </c>
      <c r="G101" s="18">
        <f t="shared" si="20"/>
        <v>3.9974999999999996</v>
      </c>
      <c r="H101" s="18">
        <f t="shared" si="20"/>
        <v>3.9974999999999996</v>
      </c>
      <c r="I101" s="18">
        <f t="shared" si="20"/>
        <v>3.9974999999999996</v>
      </c>
      <c r="J101" s="18">
        <f t="shared" si="20"/>
        <v>3.9974999999999996</v>
      </c>
      <c r="K101" s="18">
        <f t="shared" si="20"/>
        <v>3.9974999999999996</v>
      </c>
      <c r="L101" s="18">
        <f t="shared" si="20"/>
        <v>3.9974999999999996</v>
      </c>
      <c r="M101" s="18">
        <f t="shared" si="20"/>
        <v>3.9974999999999996</v>
      </c>
      <c r="N101" s="18">
        <f t="shared" si="20"/>
        <v>3.9974999999999996</v>
      </c>
      <c r="O101" s="18">
        <f t="shared" si="20"/>
        <v>3.9974999999999996</v>
      </c>
      <c r="P101" s="18">
        <f t="shared" si="20"/>
        <v>3.9974999999999996</v>
      </c>
      <c r="Q101" s="18">
        <f t="shared" si="20"/>
        <v>3.9974999999999996</v>
      </c>
      <c r="R101" s="18">
        <f t="shared" si="20"/>
        <v>3.9974999999999996</v>
      </c>
    </row>
    <row r="102" spans="3:21" s="27" customFormat="1" x14ac:dyDescent="0.2">
      <c r="C102" s="18" t="s">
        <v>48</v>
      </c>
      <c r="D102" s="18">
        <f>+D100*$D$96</f>
        <v>1.0725</v>
      </c>
      <c r="E102" s="18">
        <f>+E100*$D$96</f>
        <v>1.2955800000000002</v>
      </c>
      <c r="F102" s="18">
        <f t="shared" ref="F102:R102" si="21">+F100*$D$96</f>
        <v>1.5284755200000004</v>
      </c>
      <c r="G102" s="18">
        <f t="shared" si="21"/>
        <v>1.7716184428800004</v>
      </c>
      <c r="H102" s="18">
        <f t="shared" si="21"/>
        <v>2.0254596543667205</v>
      </c>
      <c r="I102" s="18">
        <f t="shared" si="21"/>
        <v>2.2904698791588562</v>
      </c>
      <c r="J102" s="18">
        <f t="shared" si="21"/>
        <v>2.5671405538418459</v>
      </c>
      <c r="K102" s="18">
        <f t="shared" si="21"/>
        <v>2.8559847382108874</v>
      </c>
      <c r="L102" s="18">
        <f t="shared" si="21"/>
        <v>3.1575380666921666</v>
      </c>
      <c r="M102" s="18">
        <f t="shared" si="21"/>
        <v>3.4723597416266223</v>
      </c>
      <c r="N102" s="18">
        <f t="shared" si="21"/>
        <v>3.8010335702581939</v>
      </c>
      <c r="O102" s="18">
        <f t="shared" si="21"/>
        <v>4.1441690473495543</v>
      </c>
      <c r="P102" s="18">
        <f t="shared" si="21"/>
        <v>4.5024024854329348</v>
      </c>
      <c r="Q102" s="18">
        <f t="shared" si="21"/>
        <v>4.8763981947919843</v>
      </c>
      <c r="R102" s="18">
        <f t="shared" si="21"/>
        <v>5.2668497153628318</v>
      </c>
    </row>
    <row r="103" spans="3:21" s="27" customFormat="1" x14ac:dyDescent="0.2">
      <c r="C103" s="23" t="s">
        <v>46</v>
      </c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>
        <f>-0.1*(D102:R102)</f>
        <v>-0.52668497153628324</v>
      </c>
    </row>
    <row r="104" spans="3:21" s="27" customFormat="1" x14ac:dyDescent="0.2">
      <c r="C104" s="59" t="s">
        <v>29</v>
      </c>
      <c r="D104" s="60">
        <f>SUM(D100:D102)</f>
        <v>29.445</v>
      </c>
      <c r="E104" s="60">
        <f t="shared" ref="E104:R104" si="22">SUM(E100:E102)</f>
        <v>34.738080000000004</v>
      </c>
      <c r="F104" s="60">
        <f t="shared" si="22"/>
        <v>40.264055520000007</v>
      </c>
      <c r="G104" s="60">
        <f t="shared" si="22"/>
        <v>46.033173962880007</v>
      </c>
      <c r="H104" s="60">
        <f t="shared" si="22"/>
        <v>52.056133617246729</v>
      </c>
      <c r="I104" s="60">
        <f t="shared" si="22"/>
        <v>58.344103496405587</v>
      </c>
      <c r="J104" s="60">
        <f t="shared" si="22"/>
        <v>64.908744050247435</v>
      </c>
      <c r="K104" s="60">
        <f t="shared" si="22"/>
        <v>71.76222878845833</v>
      </c>
      <c r="L104" s="60">
        <f t="shared" si="22"/>
        <v>78.917266855150501</v>
      </c>
      <c r="M104" s="60">
        <f t="shared" si="22"/>
        <v>86.387126596777122</v>
      </c>
      <c r="N104" s="60">
        <f t="shared" si="22"/>
        <v>94.185660167035323</v>
      </c>
      <c r="O104" s="60">
        <f t="shared" si="22"/>
        <v>102.32732921438487</v>
      </c>
      <c r="P104" s="60">
        <f t="shared" si="22"/>
        <v>110.82723169981782</v>
      </c>
      <c r="Q104" s="60">
        <f t="shared" si="22"/>
        <v>119.70112989460981</v>
      </c>
      <c r="R104" s="60">
        <f t="shared" si="22"/>
        <v>128.96547960997265</v>
      </c>
    </row>
    <row r="105" spans="3:21" x14ac:dyDescent="0.2">
      <c r="C105" s="1" t="s">
        <v>66</v>
      </c>
      <c r="R105" s="61">
        <f>+E25</f>
        <v>128.27621600000001</v>
      </c>
    </row>
    <row r="107" spans="3:21" x14ac:dyDescent="0.2">
      <c r="D107" s="62"/>
    </row>
    <row r="108" spans="3:21" x14ac:dyDescent="0.2">
      <c r="C108" s="1" t="s">
        <v>39</v>
      </c>
      <c r="D108" s="62"/>
    </row>
    <row r="109" spans="3:21" s="11" customFormat="1" x14ac:dyDescent="0.2">
      <c r="C109" s="58" t="s">
        <v>6</v>
      </c>
      <c r="D109" s="39">
        <v>1</v>
      </c>
      <c r="E109" s="39">
        <f>+D109+1</f>
        <v>2</v>
      </c>
      <c r="F109" s="39">
        <f t="shared" ref="F109:R109" si="23">+E109+1</f>
        <v>3</v>
      </c>
      <c r="G109" s="39">
        <f t="shared" si="23"/>
        <v>4</v>
      </c>
      <c r="H109" s="39">
        <f t="shared" si="23"/>
        <v>5</v>
      </c>
      <c r="I109" s="39">
        <f t="shared" si="23"/>
        <v>6</v>
      </c>
      <c r="J109" s="39">
        <f t="shared" si="23"/>
        <v>7</v>
      </c>
      <c r="K109" s="39">
        <f t="shared" si="23"/>
        <v>8</v>
      </c>
      <c r="L109" s="39">
        <f t="shared" si="23"/>
        <v>9</v>
      </c>
      <c r="M109" s="39">
        <f t="shared" si="23"/>
        <v>10</v>
      </c>
      <c r="N109" s="39">
        <f t="shared" si="23"/>
        <v>11</v>
      </c>
      <c r="O109" s="39">
        <f t="shared" si="23"/>
        <v>12</v>
      </c>
      <c r="P109" s="39">
        <f t="shared" si="23"/>
        <v>13</v>
      </c>
      <c r="Q109" s="39">
        <f t="shared" si="23"/>
        <v>14</v>
      </c>
      <c r="R109" s="39">
        <f t="shared" si="23"/>
        <v>15</v>
      </c>
      <c r="S109" s="11" t="s">
        <v>7</v>
      </c>
    </row>
    <row r="110" spans="3:21" x14ac:dyDescent="0.2">
      <c r="C110" s="20" t="s">
        <v>28</v>
      </c>
      <c r="D110" s="20">
        <f>-D92</f>
        <v>-25</v>
      </c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20"/>
      <c r="T110" s="65"/>
    </row>
    <row r="111" spans="3:21" x14ac:dyDescent="0.2">
      <c r="C111" s="18" t="s">
        <v>33</v>
      </c>
      <c r="D111" s="18">
        <f>-$D$93</f>
        <v>-4.0999999999999996</v>
      </c>
      <c r="E111" s="18">
        <f t="shared" ref="E111:R111" si="24">-$D$93</f>
        <v>-4.0999999999999996</v>
      </c>
      <c r="F111" s="18">
        <f t="shared" si="24"/>
        <v>-4.0999999999999996</v>
      </c>
      <c r="G111" s="18">
        <f t="shared" si="24"/>
        <v>-4.0999999999999996</v>
      </c>
      <c r="H111" s="18">
        <f t="shared" si="24"/>
        <v>-4.0999999999999996</v>
      </c>
      <c r="I111" s="18">
        <f t="shared" si="24"/>
        <v>-4.0999999999999996</v>
      </c>
      <c r="J111" s="18">
        <f t="shared" si="24"/>
        <v>-4.0999999999999996</v>
      </c>
      <c r="K111" s="18">
        <f t="shared" si="24"/>
        <v>-4.0999999999999996</v>
      </c>
      <c r="L111" s="18">
        <f t="shared" si="24"/>
        <v>-4.0999999999999996</v>
      </c>
      <c r="M111" s="18">
        <f t="shared" si="24"/>
        <v>-4.0999999999999996</v>
      </c>
      <c r="N111" s="18">
        <f t="shared" si="24"/>
        <v>-4.0999999999999996</v>
      </c>
      <c r="O111" s="18">
        <f t="shared" si="24"/>
        <v>-4.0999999999999996</v>
      </c>
      <c r="P111" s="18">
        <f t="shared" si="24"/>
        <v>-4.0999999999999996</v>
      </c>
      <c r="Q111" s="18">
        <f t="shared" si="24"/>
        <v>-4.0999999999999996</v>
      </c>
      <c r="R111" s="18">
        <f t="shared" si="24"/>
        <v>-4.0999999999999996</v>
      </c>
      <c r="T111" s="65"/>
      <c r="U111" s="66"/>
    </row>
    <row r="112" spans="3:21" x14ac:dyDescent="0.2">
      <c r="C112" s="18" t="s">
        <v>38</v>
      </c>
      <c r="D112" s="18">
        <f>+E16</f>
        <v>21.018256000000001</v>
      </c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U112" s="65"/>
    </row>
    <row r="113" spans="3:18" x14ac:dyDescent="0.2">
      <c r="C113" s="18" t="s">
        <v>37</v>
      </c>
      <c r="D113" s="18">
        <f>+D74/1000</f>
        <v>1.5807440056000011</v>
      </c>
      <c r="E113" s="18">
        <f t="shared" ref="E113:R113" si="25">+E74/1000</f>
        <v>6.7097708556000004</v>
      </c>
      <c r="F113" s="18">
        <f t="shared" si="25"/>
        <v>6.5577627283500002</v>
      </c>
      <c r="G113" s="18">
        <f t="shared" si="25"/>
        <v>6.6166244791912492</v>
      </c>
      <c r="H113" s="18">
        <f t="shared" si="25"/>
        <v>0.42636915629511762</v>
      </c>
      <c r="I113" s="18">
        <f t="shared" si="25"/>
        <v>0.48701000355554414</v>
      </c>
      <c r="J113" s="18">
        <f t="shared" si="25"/>
        <v>0.54856046352487653</v>
      </c>
      <c r="K113" s="18">
        <f t="shared" si="25"/>
        <v>0.61103418039374957</v>
      </c>
      <c r="L113" s="18">
        <f t="shared" si="25"/>
        <v>0.67444500301565558</v>
      </c>
      <c r="M113" s="18">
        <f t="shared" si="25"/>
        <v>0.88438339964408386</v>
      </c>
      <c r="N113" s="18">
        <f t="shared" si="25"/>
        <v>0.95189446055474447</v>
      </c>
      <c r="O113" s="18">
        <f t="shared" si="25"/>
        <v>1.020418187379065</v>
      </c>
      <c r="P113" s="18">
        <f t="shared" si="25"/>
        <v>1.0899697701057502</v>
      </c>
      <c r="Q113" s="18">
        <f t="shared" si="25"/>
        <v>1.1605646265733363</v>
      </c>
      <c r="R113" s="18">
        <f t="shared" si="25"/>
        <v>1.2322184058879357</v>
      </c>
    </row>
    <row r="114" spans="3:18" x14ac:dyDescent="0.2">
      <c r="C114" s="18" t="s">
        <v>67</v>
      </c>
      <c r="D114" s="18">
        <v>0.66</v>
      </c>
      <c r="E114" s="18">
        <v>0.66</v>
      </c>
      <c r="F114" s="18">
        <v>0.66</v>
      </c>
      <c r="G114" s="18">
        <v>0.66</v>
      </c>
      <c r="H114" s="18">
        <v>0.66</v>
      </c>
      <c r="I114" s="18">
        <v>0.66</v>
      </c>
      <c r="J114" s="18">
        <v>0.66</v>
      </c>
      <c r="K114" s="18">
        <v>0.66</v>
      </c>
      <c r="L114" s="18">
        <v>0.66</v>
      </c>
      <c r="M114" s="18">
        <v>0.66</v>
      </c>
      <c r="N114" s="18">
        <v>0.66</v>
      </c>
      <c r="O114" s="18">
        <v>0.66</v>
      </c>
      <c r="P114" s="18">
        <v>0.66</v>
      </c>
      <c r="Q114" s="18">
        <v>0.66</v>
      </c>
      <c r="R114" s="18">
        <v>0.66</v>
      </c>
    </row>
    <row r="115" spans="3:18" x14ac:dyDescent="0.2">
      <c r="C115" s="18" t="s">
        <v>52</v>
      </c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>
        <f>+R104-R105</f>
        <v>0.68926360997264169</v>
      </c>
    </row>
    <row r="116" spans="3:18" x14ac:dyDescent="0.2">
      <c r="C116" s="18" t="s">
        <v>40</v>
      </c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>
        <f>+E13+E16</f>
        <v>128.254256</v>
      </c>
    </row>
    <row r="117" spans="3:18" x14ac:dyDescent="0.2">
      <c r="C117" s="42"/>
      <c r="D117" s="60">
        <f t="shared" ref="D117:R117" si="26">SUM(D110:D116)</f>
        <v>-5.8409999943999988</v>
      </c>
      <c r="E117" s="60">
        <f t="shared" si="26"/>
        <v>3.2697708556000009</v>
      </c>
      <c r="F117" s="60">
        <f t="shared" si="26"/>
        <v>3.1177627283500007</v>
      </c>
      <c r="G117" s="60">
        <f t="shared" si="26"/>
        <v>3.1766244791912497</v>
      </c>
      <c r="H117" s="60">
        <f t="shared" si="26"/>
        <v>-3.013630843704882</v>
      </c>
      <c r="I117" s="60">
        <f t="shared" si="26"/>
        <v>-2.9529899964444555</v>
      </c>
      <c r="J117" s="60">
        <f t="shared" si="26"/>
        <v>-2.8914395364751231</v>
      </c>
      <c r="K117" s="60">
        <f t="shared" si="26"/>
        <v>-2.8289658196062497</v>
      </c>
      <c r="L117" s="60">
        <f t="shared" si="26"/>
        <v>-2.7655549969843438</v>
      </c>
      <c r="M117" s="60">
        <f t="shared" si="26"/>
        <v>-2.5556166003559158</v>
      </c>
      <c r="N117" s="60">
        <f t="shared" si="26"/>
        <v>-2.4881055394452551</v>
      </c>
      <c r="O117" s="60">
        <f t="shared" si="26"/>
        <v>-2.4195818126209345</v>
      </c>
      <c r="P117" s="60">
        <f t="shared" si="26"/>
        <v>-2.3500302298942493</v>
      </c>
      <c r="Q117" s="60">
        <f t="shared" si="26"/>
        <v>-2.2794353734266632</v>
      </c>
      <c r="R117" s="60">
        <f t="shared" si="26"/>
        <v>126.73573801586058</v>
      </c>
    </row>
    <row r="119" spans="3:18" x14ac:dyDescent="0.2">
      <c r="C119" s="1" t="s">
        <v>35</v>
      </c>
      <c r="D119" s="63">
        <f>IRR(D117:R117)</f>
        <v>0.27190345974187036</v>
      </c>
    </row>
    <row r="121" spans="3:18" x14ac:dyDescent="0.2">
      <c r="C121" s="1"/>
    </row>
    <row r="122" spans="3:18" x14ac:dyDescent="0.2">
      <c r="D122" s="19"/>
    </row>
    <row r="123" spans="3:18" x14ac:dyDescent="0.2">
      <c r="D123" s="19"/>
    </row>
    <row r="124" spans="3:18" x14ac:dyDescent="0.2">
      <c r="D124" s="64"/>
    </row>
    <row r="125" spans="3:18" x14ac:dyDescent="0.2">
      <c r="D125" s="52"/>
    </row>
  </sheetData>
  <phoneticPr fontId="0" type="noConversion"/>
  <pageMargins left="0.19685039370078741" right="0.19685039370078741" top="0.39370078740157483" bottom="0.39370078740157483" header="0.51181102362204722" footer="0.51181102362204722"/>
  <pageSetup paperSize="9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1</vt:i4>
      </vt:variant>
    </vt:vector>
  </HeadingPairs>
  <TitlesOfParts>
    <vt:vector size="17" baseType="lpstr">
      <vt:lpstr>Feuil1</vt:lpstr>
      <vt:lpstr>Feuil2</vt:lpstr>
      <vt:lpstr>Feuil3</vt:lpstr>
      <vt:lpstr>Feuil4</vt:lpstr>
      <vt:lpstr>Feuil5</vt:lpstr>
      <vt:lpstr>Feuil6</vt:lpstr>
      <vt:lpstr>Feuil7</vt:lpstr>
      <vt:lpstr>Feuil8</vt:lpstr>
      <vt:lpstr>Feuil9</vt:lpstr>
      <vt:lpstr>Feuil10</vt:lpstr>
      <vt:lpstr>Feuil11</vt:lpstr>
      <vt:lpstr>Feuil12</vt:lpstr>
      <vt:lpstr>Feuil13</vt:lpstr>
      <vt:lpstr>Feuil14</vt:lpstr>
      <vt:lpstr>Feuil15</vt:lpstr>
      <vt:lpstr>Feuil16</vt:lpstr>
      <vt:lpstr>Feuil1!Zone_d_impression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Denos</dc:creator>
  <cp:lastModifiedBy>Florence</cp:lastModifiedBy>
  <cp:lastPrinted>2003-12-29T10:16:05Z</cp:lastPrinted>
  <dcterms:created xsi:type="dcterms:W3CDTF">1999-05-11T15:39:34Z</dcterms:created>
  <dcterms:modified xsi:type="dcterms:W3CDTF">2016-01-15T10:09:05Z</dcterms:modified>
</cp:coreProperties>
</file>